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1FR\ps-fr\_projekte\4210190_130190_DG-ENV_VITO_ESPR_SR5_Professional-dishwashers_FWC\"/>
    </mc:Choice>
  </mc:AlternateContent>
  <xr:revisionPtr revIDLastSave="0" documentId="13_ncr:1_{A596F2F3-79B2-490C-8974-1E69DA3BB494}" xr6:coauthVersionLast="47" xr6:coauthVersionMax="47" xr10:uidLastSave="{00000000-0000-0000-0000-000000000000}"/>
  <bookViews>
    <workbookView xWindow="-110" yWindow="-110" windowWidth="19420" windowHeight="11500" tabRatio="879" firstSheet="3" activeTab="3" xr2:uid="{0A3ED19B-5831-4C74-A1BF-61FBAD6B2996}"/>
  </bookViews>
  <sheets>
    <sheet name="T3 Input data" sheetId="21" state="hidden" r:id="rId1"/>
    <sheet name="Input BoM- Manufacturing" sheetId="2" state="hidden" r:id="rId2"/>
    <sheet name="Input use - economics" sheetId="14" state="hidden" r:id="rId3"/>
    <sheet name="MEErP Task6_Background" sheetId="28" r:id="rId4"/>
    <sheet name="Design options" sheetId="24" r:id="rId5"/>
    <sheet name="BC1 Undercounter water-change" sheetId="5" r:id="rId6"/>
    <sheet name="BC2 Undercounter one-tank" sheetId="22" r:id="rId7"/>
    <sheet name="BC2# Undercounter one-tank" sheetId="16" state="hidden" r:id="rId8"/>
    <sheet name="BC3 Hood-type" sheetId="23" r:id="rId9"/>
    <sheet name="BC3# Hood-type " sheetId="17" state="hidden" r:id="rId10"/>
    <sheet name="BC4 Utensil or pot" sheetId="25" r:id="rId11"/>
    <sheet name="BC4# Utensil or pot " sheetId="18" state="hidden" r:id="rId12"/>
    <sheet name="BC5 One-tank conveyor-type" sheetId="26" r:id="rId13"/>
    <sheet name="BC5# One-tank conveyor-type " sheetId="19" state="hidden" r:id="rId14"/>
    <sheet name="BC6 Multi-tank conveyor-type" sheetId="27" r:id="rId15"/>
    <sheet name="BC6# Multi-tank conveyor-type" sheetId="20" state="hidden" r:id="rId16"/>
    <sheet name="Lists" sheetId="12" state="hidden" r:id="rId17"/>
  </sheets>
  <definedNames>
    <definedName name="_Ref284422530" localSheetId="3">'MEErP Task6_Background'!#REF!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27" l="1"/>
  <c r="K51" i="27"/>
  <c r="J51" i="27"/>
  <c r="I51" i="27"/>
  <c r="H51" i="27"/>
  <c r="G51" i="27"/>
  <c r="F51" i="27"/>
  <c r="L19" i="27"/>
  <c r="L62" i="27" s="1"/>
  <c r="K19" i="27"/>
  <c r="J19" i="27"/>
  <c r="J62" i="27" s="1"/>
  <c r="I19" i="27"/>
  <c r="I62" i="27" s="1"/>
  <c r="H19" i="27"/>
  <c r="H62" i="27" s="1"/>
  <c r="G19" i="27"/>
  <c r="G62" i="27" s="1"/>
  <c r="F19" i="27"/>
  <c r="F62" i="27" s="1"/>
  <c r="C13" i="27"/>
  <c r="C12" i="27"/>
  <c r="C11" i="27"/>
  <c r="C10" i="27"/>
  <c r="C9" i="27"/>
  <c r="C8" i="27"/>
  <c r="K7" i="27"/>
  <c r="J7" i="27"/>
  <c r="I7" i="27"/>
  <c r="H7" i="27"/>
  <c r="G7" i="27"/>
  <c r="F7" i="27"/>
  <c r="L19" i="26"/>
  <c r="L51" i="26" s="1"/>
  <c r="K19" i="26"/>
  <c r="K51" i="26" s="1"/>
  <c r="J19" i="26"/>
  <c r="J51" i="26" s="1"/>
  <c r="I19" i="26"/>
  <c r="I7" i="26" s="1"/>
  <c r="H19" i="26"/>
  <c r="H7" i="26" s="1"/>
  <c r="G19" i="26"/>
  <c r="G51" i="26" s="1"/>
  <c r="F19" i="26"/>
  <c r="F51" i="26" s="1"/>
  <c r="K7" i="26"/>
  <c r="J7" i="26"/>
  <c r="J51" i="25"/>
  <c r="I51" i="25"/>
  <c r="H51" i="25"/>
  <c r="G51" i="25"/>
  <c r="F51" i="25"/>
  <c r="L19" i="25"/>
  <c r="L51" i="25" s="1"/>
  <c r="K19" i="25"/>
  <c r="K51" i="25" s="1"/>
  <c r="J19" i="25"/>
  <c r="J7" i="25" s="1"/>
  <c r="I19" i="25"/>
  <c r="I7" i="25" s="1"/>
  <c r="H19" i="25"/>
  <c r="H7" i="25" s="1"/>
  <c r="G19" i="25"/>
  <c r="G7" i="25" s="1"/>
  <c r="F19" i="25"/>
  <c r="F7" i="25" s="1"/>
  <c r="C12" i="25"/>
  <c r="C11" i="25"/>
  <c r="C10" i="25"/>
  <c r="C9" i="25"/>
  <c r="C8" i="25"/>
  <c r="L19" i="23"/>
  <c r="L62" i="23" s="1"/>
  <c r="C14" i="23"/>
  <c r="L19" i="22"/>
  <c r="L62" i="22" s="1"/>
  <c r="L19" i="5"/>
  <c r="C14" i="5" s="1"/>
  <c r="L7" i="27" l="1"/>
  <c r="L7" i="22"/>
  <c r="C14" i="22"/>
  <c r="L7" i="26"/>
  <c r="L7" i="23"/>
  <c r="L51" i="22"/>
  <c r="L51" i="27"/>
  <c r="C14" i="27"/>
  <c r="L51" i="23"/>
  <c r="L62" i="25"/>
  <c r="G7" i="26"/>
  <c r="K7" i="25"/>
  <c r="K62" i="25"/>
  <c r="F62" i="26"/>
  <c r="L7" i="25"/>
  <c r="G62" i="26"/>
  <c r="F7" i="26"/>
  <c r="H62" i="26"/>
  <c r="I62" i="26"/>
  <c r="L7" i="5"/>
  <c r="J62" i="26"/>
  <c r="L51" i="5"/>
  <c r="K62" i="26"/>
  <c r="L62" i="5"/>
  <c r="L62" i="26"/>
  <c r="C13" i="25"/>
  <c r="C8" i="26"/>
  <c r="C14" i="25"/>
  <c r="C9" i="26"/>
  <c r="F62" i="25"/>
  <c r="C10" i="26"/>
  <c r="H51" i="26"/>
  <c r="G62" i="25"/>
  <c r="C11" i="26"/>
  <c r="I51" i="26"/>
  <c r="H62" i="25"/>
  <c r="C12" i="26"/>
  <c r="I62" i="25"/>
  <c r="C13" i="26"/>
  <c r="J62" i="25"/>
  <c r="C14" i="26"/>
  <c r="D65" i="27"/>
  <c r="D64" i="27"/>
  <c r="D65" i="26"/>
  <c r="D64" i="26"/>
  <c r="D65" i="25"/>
  <c r="D64" i="25"/>
  <c r="K19" i="23"/>
  <c r="J19" i="23"/>
  <c r="I19" i="23"/>
  <c r="H19" i="23"/>
  <c r="G19" i="23"/>
  <c r="F19" i="23"/>
  <c r="K19" i="22"/>
  <c r="K51" i="22" s="1"/>
  <c r="J19" i="22"/>
  <c r="J51" i="22" s="1"/>
  <c r="I19" i="22"/>
  <c r="I51" i="22" s="1"/>
  <c r="H19" i="22"/>
  <c r="H51" i="22" s="1"/>
  <c r="G19" i="22"/>
  <c r="G51" i="22" s="1"/>
  <c r="F19" i="22"/>
  <c r="F51" i="22" s="1"/>
  <c r="K19" i="5"/>
  <c r="K7" i="5" s="1"/>
  <c r="J19" i="5"/>
  <c r="J7" i="5" s="1"/>
  <c r="I19" i="5"/>
  <c r="I7" i="5" s="1"/>
  <c r="H19" i="5"/>
  <c r="H51" i="5" s="1"/>
  <c r="G19" i="5"/>
  <c r="G7" i="5" s="1"/>
  <c r="F19" i="5"/>
  <c r="C8" i="5" s="1"/>
  <c r="D65" i="23"/>
  <c r="D64" i="23"/>
  <c r="D65" i="22"/>
  <c r="D64" i="22"/>
  <c r="K62" i="22"/>
  <c r="C21" i="5"/>
  <c r="C22" i="5"/>
  <c r="C23" i="5"/>
  <c r="C24" i="5"/>
  <c r="C25" i="5"/>
  <c r="C26" i="5"/>
  <c r="C27" i="5"/>
  <c r="C28" i="5"/>
  <c r="C29" i="5"/>
  <c r="D192" i="18"/>
  <c r="C175" i="16"/>
  <c r="E15" i="14"/>
  <c r="C13" i="14"/>
  <c r="E137" i="18"/>
  <c r="C173" i="18"/>
  <c r="C166" i="20"/>
  <c r="C167" i="19"/>
  <c r="C158" i="18"/>
  <c r="C159" i="17"/>
  <c r="C159" i="16"/>
  <c r="C158" i="16"/>
  <c r="I62" i="23" l="1"/>
  <c r="C11" i="23"/>
  <c r="I51" i="23"/>
  <c r="I7" i="23"/>
  <c r="J62" i="23"/>
  <c r="C12" i="23"/>
  <c r="J51" i="23"/>
  <c r="J7" i="23"/>
  <c r="F62" i="22"/>
  <c r="F7" i="22"/>
  <c r="C8" i="22"/>
  <c r="H7" i="22"/>
  <c r="C10" i="22"/>
  <c r="K7" i="22"/>
  <c r="C13" i="22"/>
  <c r="G51" i="23"/>
  <c r="G7" i="23"/>
  <c r="G62" i="23"/>
  <c r="C9" i="23"/>
  <c r="K62" i="23"/>
  <c r="C13" i="23"/>
  <c r="K51" i="23"/>
  <c r="K7" i="23"/>
  <c r="G7" i="22"/>
  <c r="C9" i="22"/>
  <c r="I7" i="22"/>
  <c r="C11" i="22"/>
  <c r="J7" i="22"/>
  <c r="C12" i="22"/>
  <c r="F51" i="23"/>
  <c r="F7" i="23"/>
  <c r="F62" i="23"/>
  <c r="C8" i="23"/>
  <c r="H7" i="23"/>
  <c r="H62" i="23"/>
  <c r="C10" i="23"/>
  <c r="H51" i="23"/>
  <c r="J62" i="5"/>
  <c r="I62" i="5"/>
  <c r="C10" i="5"/>
  <c r="C11" i="5"/>
  <c r="C12" i="5"/>
  <c r="K51" i="5"/>
  <c r="C13" i="5"/>
  <c r="J51" i="5"/>
  <c r="I51" i="5"/>
  <c r="H62" i="5"/>
  <c r="H7" i="5"/>
  <c r="G62" i="5"/>
  <c r="C9" i="5"/>
  <c r="G51" i="5"/>
  <c r="K62" i="5"/>
  <c r="F62" i="5"/>
  <c r="F7" i="5"/>
  <c r="G62" i="22"/>
  <c r="H62" i="22"/>
  <c r="I62" i="22"/>
  <c r="J62" i="22"/>
  <c r="F51" i="5"/>
  <c r="C70" i="14"/>
  <c r="C84" i="14"/>
  <c r="E84" i="14"/>
  <c r="G84" i="14"/>
  <c r="I84" i="14"/>
  <c r="K84" i="14"/>
  <c r="M84" i="14"/>
  <c r="M71" i="14"/>
  <c r="M72" i="14"/>
  <c r="M73" i="14"/>
  <c r="M74" i="14"/>
  <c r="M75" i="14"/>
  <c r="M76" i="14"/>
  <c r="M77" i="14"/>
  <c r="M78" i="14"/>
  <c r="M79" i="14"/>
  <c r="M80" i="14"/>
  <c r="M81" i="14"/>
  <c r="M82" i="14"/>
  <c r="M83" i="14"/>
  <c r="K71" i="14"/>
  <c r="K72" i="14"/>
  <c r="K73" i="14"/>
  <c r="K74" i="14"/>
  <c r="K75" i="14"/>
  <c r="K76" i="14"/>
  <c r="K77" i="14"/>
  <c r="K78" i="14"/>
  <c r="K79" i="14"/>
  <c r="K80" i="14"/>
  <c r="K81" i="14"/>
  <c r="K82" i="14"/>
  <c r="K83" i="14"/>
  <c r="I71" i="14"/>
  <c r="I72" i="14"/>
  <c r="I73" i="14"/>
  <c r="I74" i="14"/>
  <c r="I75" i="14"/>
  <c r="I76" i="14"/>
  <c r="I77" i="14"/>
  <c r="I78" i="14"/>
  <c r="I79" i="14"/>
  <c r="I80" i="14"/>
  <c r="I81" i="14"/>
  <c r="I82" i="14"/>
  <c r="I83" i="14"/>
  <c r="G71" i="14"/>
  <c r="G72" i="14"/>
  <c r="G73" i="14"/>
  <c r="G74" i="14"/>
  <c r="G75" i="14"/>
  <c r="G76" i="14"/>
  <c r="G77" i="14"/>
  <c r="G78" i="14"/>
  <c r="G79" i="14"/>
  <c r="G80" i="14"/>
  <c r="G81" i="14"/>
  <c r="G82" i="14"/>
  <c r="G83" i="14"/>
  <c r="M70" i="14"/>
  <c r="K70" i="14"/>
  <c r="I70" i="14"/>
  <c r="G70" i="14"/>
  <c r="E71" i="14"/>
  <c r="E72" i="14"/>
  <c r="E73" i="14"/>
  <c r="E74" i="14"/>
  <c r="E75" i="14"/>
  <c r="E76" i="14"/>
  <c r="E77" i="14"/>
  <c r="E78" i="14"/>
  <c r="E79" i="14"/>
  <c r="E80" i="14"/>
  <c r="E81" i="14"/>
  <c r="E82" i="14"/>
  <c r="E83" i="14"/>
  <c r="E70" i="14"/>
  <c r="C71" i="14"/>
  <c r="C72" i="14"/>
  <c r="C73" i="14"/>
  <c r="C74" i="14"/>
  <c r="C75" i="14"/>
  <c r="C76" i="14"/>
  <c r="C77" i="14"/>
  <c r="C78" i="14"/>
  <c r="C79" i="14"/>
  <c r="C80" i="14"/>
  <c r="C81" i="14"/>
  <c r="C82" i="14"/>
  <c r="C83" i="14"/>
  <c r="B21" i="19" l="1"/>
  <c r="D82" i="18" l="1"/>
  <c r="D86" i="18"/>
  <c r="B47" i="18" l="1"/>
  <c r="C47" i="18"/>
  <c r="D47" i="18"/>
  <c r="E47" i="18"/>
  <c r="F47" i="18"/>
  <c r="B48" i="18"/>
  <c r="C48" i="18"/>
  <c r="D48" i="18"/>
  <c r="E48" i="18"/>
  <c r="F48" i="18"/>
  <c r="B49" i="18"/>
  <c r="C49" i="18"/>
  <c r="D49" i="18"/>
  <c r="E49" i="18"/>
  <c r="F49" i="18"/>
  <c r="B50" i="18"/>
  <c r="C50" i="18"/>
  <c r="D50" i="18"/>
  <c r="E50" i="18"/>
  <c r="F50" i="18"/>
  <c r="B51" i="18"/>
  <c r="C51" i="18"/>
  <c r="D51" i="18"/>
  <c r="E51" i="18"/>
  <c r="F51" i="18"/>
  <c r="B52" i="18"/>
  <c r="C52" i="18"/>
  <c r="D52" i="18"/>
  <c r="E52" i="18"/>
  <c r="F52" i="18"/>
  <c r="C46" i="18"/>
  <c r="D46" i="18"/>
  <c r="E46" i="18"/>
  <c r="F46" i="18"/>
  <c r="B46" i="18"/>
  <c r="D17" i="18"/>
  <c r="C29" i="18"/>
  <c r="C86" i="18" s="1"/>
  <c r="C30" i="18"/>
  <c r="C82" i="18" s="1"/>
  <c r="E31" i="18"/>
  <c r="F31" i="18"/>
  <c r="E32" i="18"/>
  <c r="F32" i="18"/>
  <c r="E33" i="18"/>
  <c r="F33" i="18"/>
  <c r="E34" i="18"/>
  <c r="F34" i="18"/>
  <c r="E35" i="18"/>
  <c r="F35" i="18"/>
  <c r="E36" i="18"/>
  <c r="F36" i="18"/>
  <c r="E37" i="18"/>
  <c r="F37" i="18"/>
  <c r="E38" i="18"/>
  <c r="F38" i="18"/>
  <c r="E39" i="18"/>
  <c r="F39" i="18"/>
  <c r="E40" i="18"/>
  <c r="F40" i="18"/>
  <c r="E41" i="18"/>
  <c r="F41" i="18"/>
  <c r="E18" i="18"/>
  <c r="F18" i="18"/>
  <c r="E19" i="18"/>
  <c r="F19" i="18"/>
  <c r="E20" i="18"/>
  <c r="F20" i="18"/>
  <c r="E21" i="18"/>
  <c r="F21" i="18"/>
  <c r="E22" i="18"/>
  <c r="F22" i="18"/>
  <c r="E23" i="18"/>
  <c r="F23" i="18"/>
  <c r="E24" i="18"/>
  <c r="F24" i="18"/>
  <c r="E25" i="18"/>
  <c r="F25" i="18"/>
  <c r="E26" i="18"/>
  <c r="F26" i="18"/>
  <c r="E27" i="18"/>
  <c r="F27" i="18"/>
  <c r="E28" i="18"/>
  <c r="F28" i="18"/>
  <c r="E29" i="18"/>
  <c r="F29" i="18"/>
  <c r="E30" i="18"/>
  <c r="F30" i="18"/>
  <c r="F17" i="18"/>
  <c r="E17" i="18"/>
  <c r="B32" i="18"/>
  <c r="B33" i="18"/>
  <c r="B34" i="18"/>
  <c r="B35" i="18"/>
  <c r="B36" i="18"/>
  <c r="B37" i="18"/>
  <c r="B38" i="18"/>
  <c r="B39" i="18"/>
  <c r="B40" i="18"/>
  <c r="B41" i="18"/>
  <c r="B31" i="18"/>
  <c r="B18" i="18"/>
  <c r="B19" i="18"/>
  <c r="B20" i="18"/>
  <c r="B21" i="18"/>
  <c r="B22" i="18"/>
  <c r="B83" i="18" s="1"/>
  <c r="B23" i="18"/>
  <c r="B24" i="18"/>
  <c r="B25" i="18"/>
  <c r="B85" i="18" s="1"/>
  <c r="B26" i="18"/>
  <c r="B84" i="18" s="1"/>
  <c r="B27" i="18"/>
  <c r="B28" i="18"/>
  <c r="B29" i="18"/>
  <c r="B86" i="18" s="1"/>
  <c r="B30" i="18"/>
  <c r="B82" i="18" s="1"/>
  <c r="B17" i="18"/>
  <c r="C18" i="18"/>
  <c r="C19" i="18"/>
  <c r="C20" i="18"/>
  <c r="C21" i="18"/>
  <c r="C22" i="18"/>
  <c r="C23" i="18"/>
  <c r="C24" i="18"/>
  <c r="C85" i="18" s="1"/>
  <c r="E85" i="18" s="1"/>
  <c r="C25" i="18"/>
  <c r="C26" i="18"/>
  <c r="C27" i="18"/>
  <c r="C28" i="18"/>
  <c r="C17" i="18"/>
  <c r="U32" i="2"/>
  <c r="U48" i="2"/>
  <c r="U71" i="2" s="1"/>
  <c r="C56" i="18" l="1"/>
  <c r="B75" i="18"/>
  <c r="C42" i="18"/>
  <c r="C58" i="18" l="1"/>
  <c r="C101" i="20" l="1"/>
  <c r="H195" i="21" l="1"/>
  <c r="C151" i="21"/>
  <c r="H194" i="21"/>
  <c r="E172" i="21"/>
  <c r="B151" i="21"/>
  <c r="F131" i="20"/>
  <c r="F132" i="19"/>
  <c r="F123" i="18"/>
  <c r="F124" i="17"/>
  <c r="F124" i="16"/>
  <c r="I21" i="14"/>
  <c r="G21" i="14"/>
  <c r="E21" i="14"/>
  <c r="C21" i="14"/>
  <c r="F163" i="21"/>
  <c r="M13" i="14"/>
  <c r="M14" i="14" s="1"/>
  <c r="K13" i="14"/>
  <c r="K14" i="14"/>
  <c r="I13" i="14"/>
  <c r="I14" i="14" s="1"/>
  <c r="G13" i="14"/>
  <c r="G14" i="14" s="1"/>
  <c r="E13" i="14"/>
  <c r="E14" i="14" s="1"/>
  <c r="C14" i="14"/>
  <c r="D94" i="20"/>
  <c r="D95" i="19"/>
  <c r="D87" i="17"/>
  <c r="C37" i="20"/>
  <c r="C38" i="19"/>
  <c r="E86" i="18"/>
  <c r="C30" i="17"/>
  <c r="C32" i="2"/>
  <c r="C30" i="16"/>
  <c r="C41" i="5"/>
  <c r="C94" i="20" l="1"/>
  <c r="E94" i="20" s="1"/>
  <c r="C95" i="19"/>
  <c r="E95" i="19" s="1"/>
  <c r="C87" i="17"/>
  <c r="E87" i="17" s="1"/>
  <c r="C56" i="2"/>
  <c r="M43" i="14"/>
  <c r="K43" i="14"/>
  <c r="I43" i="14"/>
  <c r="G43" i="14"/>
  <c r="E43" i="14"/>
  <c r="C43" i="14"/>
  <c r="D140" i="20"/>
  <c r="D141" i="19"/>
  <c r="D132" i="18"/>
  <c r="C133" i="18"/>
  <c r="D133" i="18"/>
  <c r="D133" i="17"/>
  <c r="D133" i="16"/>
  <c r="M45" i="14"/>
  <c r="K45" i="14"/>
  <c r="I45" i="14"/>
  <c r="G45" i="14"/>
  <c r="E45" i="14"/>
  <c r="C45" i="14"/>
  <c r="M44" i="14"/>
  <c r="K44" i="14"/>
  <c r="I44" i="14"/>
  <c r="G44" i="14"/>
  <c r="E44" i="14"/>
  <c r="C44" i="14"/>
  <c r="M51" i="14"/>
  <c r="M50" i="14"/>
  <c r="K51" i="14"/>
  <c r="K50" i="14"/>
  <c r="I51" i="14"/>
  <c r="I50" i="14"/>
  <c r="G51" i="14"/>
  <c r="G50" i="14"/>
  <c r="E51" i="14"/>
  <c r="E50" i="14"/>
  <c r="C51" i="14"/>
  <c r="C50" i="14"/>
  <c r="M40" i="14"/>
  <c r="M46" i="14" s="1"/>
  <c r="C188" i="20" s="1"/>
  <c r="K40" i="14"/>
  <c r="K46" i="14" s="1"/>
  <c r="I40" i="14"/>
  <c r="I46" i="14" s="1"/>
  <c r="G40" i="14"/>
  <c r="G46" i="14" s="1"/>
  <c r="E40" i="14"/>
  <c r="E46" i="14" s="1"/>
  <c r="C40" i="14"/>
  <c r="C46" i="14" s="1"/>
  <c r="D21" i="5" l="1"/>
  <c r="B21" i="5"/>
  <c r="M24" i="14" l="1"/>
  <c r="C140" i="20" s="1"/>
  <c r="K24" i="14"/>
  <c r="C141" i="19" s="1"/>
  <c r="I24" i="14"/>
  <c r="C132" i="18" s="1"/>
  <c r="G24" i="14"/>
  <c r="C133" i="17" s="1"/>
  <c r="E24" i="14"/>
  <c r="C133" i="16" s="1"/>
  <c r="C24" i="14"/>
  <c r="C57" i="5" s="1"/>
  <c r="G172" i="21"/>
  <c r="G174" i="21"/>
  <c r="G175" i="21"/>
  <c r="G176" i="21"/>
  <c r="G177" i="21"/>
  <c r="G173" i="21"/>
  <c r="H221" i="21"/>
  <c r="H220" i="21"/>
  <c r="H219" i="21"/>
  <c r="H218" i="21"/>
  <c r="H217" i="21"/>
  <c r="C221" i="21"/>
  <c r="C220" i="21"/>
  <c r="C219" i="21"/>
  <c r="C218" i="21"/>
  <c r="C217" i="21"/>
  <c r="C11" i="14"/>
  <c r="M20" i="14"/>
  <c r="K20" i="14"/>
  <c r="I20" i="14"/>
  <c r="G20" i="14"/>
  <c r="E20" i="14"/>
  <c r="C20" i="14"/>
  <c r="I17" i="14"/>
  <c r="G17" i="14"/>
  <c r="E17" i="14"/>
  <c r="C17" i="14"/>
  <c r="G19" i="14"/>
  <c r="E19" i="14"/>
  <c r="C19" i="14"/>
  <c r="G9" i="14"/>
  <c r="G8" i="14"/>
  <c r="E9" i="14"/>
  <c r="E8" i="14"/>
  <c r="C9" i="14"/>
  <c r="C8" i="14"/>
  <c r="F197" i="21"/>
  <c r="F183" i="21"/>
  <c r="G64" i="21" l="1"/>
  <c r="H74" i="21" s="1"/>
  <c r="H34" i="21" l="1"/>
  <c r="H35" i="21"/>
  <c r="K35" i="21" s="1"/>
  <c r="H36" i="21"/>
  <c r="K36" i="21" s="1"/>
  <c r="H37" i="21"/>
  <c r="K37" i="21" s="1"/>
  <c r="H33" i="21"/>
  <c r="L38" i="21" l="1"/>
  <c r="B69" i="21"/>
  <c r="B68" i="21"/>
  <c r="B65" i="21"/>
  <c r="B66" i="21"/>
  <c r="B67" i="21"/>
  <c r="B64" i="21"/>
  <c r="J34" i="21" l="1"/>
  <c r="K34" i="21" s="1"/>
  <c r="J33" i="21"/>
  <c r="K33" i="21" s="1"/>
  <c r="F17" i="21"/>
  <c r="F16" i="21"/>
  <c r="F15" i="21"/>
  <c r="F14" i="21"/>
  <c r="F88" i="21"/>
  <c r="F87" i="21"/>
  <c r="E88" i="21"/>
  <c r="E87" i="21"/>
  <c r="C27" i="2"/>
  <c r="O20" i="2"/>
  <c r="O18" i="2"/>
  <c r="O17" i="2"/>
  <c r="O16" i="2"/>
  <c r="O15" i="2"/>
  <c r="O14" i="2"/>
  <c r="O13" i="2"/>
  <c r="O12" i="2"/>
  <c r="O11" i="2"/>
  <c r="O10" i="2"/>
  <c r="I20" i="2"/>
  <c r="I18" i="2"/>
  <c r="I17" i="2"/>
  <c r="I16" i="2"/>
  <c r="I15" i="2"/>
  <c r="I14" i="2"/>
  <c r="I13" i="2"/>
  <c r="I12" i="2"/>
  <c r="I11" i="2"/>
  <c r="I10" i="2"/>
  <c r="C66" i="21" l="1"/>
  <c r="C65" i="21"/>
  <c r="C64" i="21"/>
  <c r="B42" i="21"/>
  <c r="E42" i="21" s="1"/>
  <c r="F64" i="21" s="1"/>
  <c r="B45" i="21"/>
  <c r="C67" i="21"/>
  <c r="AG32" i="2"/>
  <c r="AC31" i="2"/>
  <c r="AC23" i="2"/>
  <c r="AC20" i="2"/>
  <c r="AC19" i="2"/>
  <c r="AC18" i="2"/>
  <c r="AC12" i="2"/>
  <c r="AC11" i="2"/>
  <c r="AC10" i="2"/>
  <c r="AC9" i="2"/>
  <c r="AC8" i="2"/>
  <c r="AA32" i="2"/>
  <c r="AC30" i="2" s="1"/>
  <c r="O9" i="2"/>
  <c r="O8" i="2"/>
  <c r="O7" i="2"/>
  <c r="AC24" i="2" l="1"/>
  <c r="AC25" i="2"/>
  <c r="AC15" i="2"/>
  <c r="AC16" i="2"/>
  <c r="AC26" i="2"/>
  <c r="AC7" i="2"/>
  <c r="AC17" i="2"/>
  <c r="AC27" i="2"/>
  <c r="AC28" i="2"/>
  <c r="AC13" i="2"/>
  <c r="AC21" i="2"/>
  <c r="AC29" i="2"/>
  <c r="AC14" i="2"/>
  <c r="AC22" i="2"/>
  <c r="F45" i="21"/>
  <c r="E45" i="21"/>
  <c r="AI28" i="2"/>
  <c r="AI20" i="2"/>
  <c r="AI12" i="2"/>
  <c r="AI23" i="2"/>
  <c r="AI27" i="2"/>
  <c r="AI19" i="2"/>
  <c r="AI11" i="2"/>
  <c r="AI15" i="2"/>
  <c r="AI26" i="2"/>
  <c r="AI18" i="2"/>
  <c r="AI10" i="2"/>
  <c r="AI16" i="2"/>
  <c r="AI25" i="2"/>
  <c r="AI17" i="2"/>
  <c r="AI24" i="2"/>
  <c r="AI22" i="2"/>
  <c r="AI14" i="2"/>
  <c r="AI21" i="2"/>
  <c r="AI13" i="2"/>
  <c r="W29" i="2"/>
  <c r="W21" i="2"/>
  <c r="W20" i="2"/>
  <c r="W12" i="2"/>
  <c r="W15" i="2"/>
  <c r="W19" i="2"/>
  <c r="W11" i="2"/>
  <c r="W17" i="2"/>
  <c r="W13" i="2"/>
  <c r="W18" i="2"/>
  <c r="W10" i="2"/>
  <c r="W16" i="2"/>
  <c r="W14" i="2"/>
  <c r="W9" i="2"/>
  <c r="W25" i="2"/>
  <c r="W26" i="2"/>
  <c r="W7" i="2"/>
  <c r="W31" i="2"/>
  <c r="W28" i="2"/>
  <c r="W22" i="2"/>
  <c r="W30" i="2"/>
  <c r="W23" i="2"/>
  <c r="W8" i="2"/>
  <c r="W24" i="2"/>
  <c r="W27" i="2"/>
  <c r="O32" i="2"/>
  <c r="F67" i="21" l="1"/>
  <c r="B219" i="21"/>
  <c r="G67" i="21"/>
  <c r="H77" i="21" s="1"/>
  <c r="B208" i="21"/>
  <c r="Q21" i="2"/>
  <c r="Q11" i="2"/>
  <c r="Q15" i="2"/>
  <c r="Q19" i="2"/>
  <c r="Q14" i="2"/>
  <c r="Q17" i="2"/>
  <c r="Q12" i="2"/>
  <c r="Q20" i="2"/>
  <c r="Q18" i="2"/>
  <c r="Q10" i="2"/>
  <c r="Q13" i="2"/>
  <c r="Q16" i="2"/>
  <c r="K17" i="2"/>
  <c r="Q30" i="2"/>
  <c r="Q24" i="2"/>
  <c r="Q9" i="2"/>
  <c r="Q7" i="2"/>
  <c r="Q23" i="2"/>
  <c r="Q31" i="2"/>
  <c r="Q28" i="2"/>
  <c r="Q25" i="2"/>
  <c r="Q8" i="2"/>
  <c r="Q26" i="2"/>
  <c r="Q29" i="2"/>
  <c r="Q27" i="2"/>
  <c r="Q22" i="2"/>
  <c r="I8" i="2"/>
  <c r="I7" i="2"/>
  <c r="I32" i="2" s="1"/>
  <c r="K22" i="2" s="1"/>
  <c r="O36" i="2"/>
  <c r="I39" i="2"/>
  <c r="O39" i="2"/>
  <c r="U39" i="2"/>
  <c r="U38" i="2"/>
  <c r="U40" i="2"/>
  <c r="U41" i="2"/>
  <c r="O40" i="2"/>
  <c r="O41" i="2"/>
  <c r="O38" i="2"/>
  <c r="I38" i="2"/>
  <c r="I40" i="2"/>
  <c r="I41" i="2"/>
  <c r="K16" i="2" l="1"/>
  <c r="K15" i="2"/>
  <c r="K20" i="2"/>
  <c r="K13" i="2"/>
  <c r="K19" i="2"/>
  <c r="K14" i="2"/>
  <c r="K12" i="2"/>
  <c r="K24" i="2"/>
  <c r="K11" i="2"/>
  <c r="K18" i="2"/>
  <c r="K21" i="2"/>
  <c r="K10" i="2"/>
  <c r="D219" i="21"/>
  <c r="K7" i="2"/>
  <c r="K23" i="2"/>
  <c r="K9" i="2"/>
  <c r="K25" i="2"/>
  <c r="K26" i="2"/>
  <c r="K27" i="2"/>
  <c r="K28" i="2"/>
  <c r="K29" i="2"/>
  <c r="K30" i="2"/>
  <c r="K31" i="2"/>
  <c r="K8" i="2"/>
  <c r="AG40" i="2"/>
  <c r="AG39" i="2"/>
  <c r="AG37" i="2"/>
  <c r="AG46" i="2" s="1"/>
  <c r="AA40" i="2"/>
  <c r="AA39" i="2"/>
  <c r="AA37" i="2"/>
  <c r="U36" i="2"/>
  <c r="U46" i="2" s="1"/>
  <c r="W44" i="2" s="1"/>
  <c r="I36" i="2"/>
  <c r="I46" i="2" s="1"/>
  <c r="W39" i="2" s="1"/>
  <c r="C46" i="2"/>
  <c r="C24" i="2"/>
  <c r="C26" i="2"/>
  <c r="C23" i="2"/>
  <c r="C22" i="2"/>
  <c r="C21" i="2"/>
  <c r="C20" i="2"/>
  <c r="C19" i="2"/>
  <c r="C18" i="2"/>
  <c r="C17" i="2"/>
  <c r="C16" i="2"/>
  <c r="C15" i="2"/>
  <c r="C14" i="2"/>
  <c r="C13" i="2"/>
  <c r="C12" i="2"/>
  <c r="C11" i="2"/>
  <c r="C10" i="2"/>
  <c r="C9" i="2"/>
  <c r="AI39" i="2" l="1"/>
  <c r="AI40" i="2"/>
  <c r="AI44" i="2"/>
  <c r="AI36" i="2"/>
  <c r="AI43" i="2"/>
  <c r="AI38" i="2"/>
  <c r="AI42" i="2"/>
  <c r="AI41" i="2"/>
  <c r="AI46" i="2" s="1"/>
  <c r="AI45" i="2"/>
  <c r="AI37" i="2"/>
  <c r="K42" i="2"/>
  <c r="Q39" i="2"/>
  <c r="W36" i="2"/>
  <c r="W42" i="2"/>
  <c r="W40" i="2"/>
  <c r="W41" i="2"/>
  <c r="K39" i="2"/>
  <c r="K36" i="2"/>
  <c r="K37" i="2"/>
  <c r="K38" i="2"/>
  <c r="K43" i="2"/>
  <c r="K44" i="2"/>
  <c r="K45" i="2"/>
  <c r="K40" i="2"/>
  <c r="K41" i="2"/>
  <c r="W43" i="2"/>
  <c r="W37" i="2"/>
  <c r="W45" i="2"/>
  <c r="W38" i="2"/>
  <c r="AA46" i="2"/>
  <c r="O46" i="2"/>
  <c r="B43" i="21"/>
  <c r="AC38" i="2" l="1"/>
  <c r="AC44" i="2"/>
  <c r="AC45" i="2"/>
  <c r="AC36" i="2"/>
  <c r="AC39" i="2"/>
  <c r="AC43" i="2"/>
  <c r="AC41" i="2"/>
  <c r="AC40" i="2"/>
  <c r="AC42" i="2"/>
  <c r="AC37" i="2"/>
  <c r="F43" i="21"/>
  <c r="E43" i="21"/>
  <c r="E20" i="2"/>
  <c r="E28" i="2"/>
  <c r="E27" i="2"/>
  <c r="Q42" i="2"/>
  <c r="Q41" i="2"/>
  <c r="Q40" i="2"/>
  <c r="K46" i="2"/>
  <c r="W46" i="2"/>
  <c r="Q45" i="2"/>
  <c r="Q37" i="2"/>
  <c r="Q38" i="2"/>
  <c r="Q44" i="2"/>
  <c r="Q36" i="2"/>
  <c r="Q43" i="2"/>
  <c r="E19" i="2"/>
  <c r="E16" i="2"/>
  <c r="E13" i="2"/>
  <c r="E10" i="2"/>
  <c r="E17" i="2"/>
  <c r="E14" i="2"/>
  <c r="E24" i="2"/>
  <c r="E12" i="2"/>
  <c r="E25" i="2"/>
  <c r="E26" i="2"/>
  <c r="E9" i="2"/>
  <c r="E23" i="2"/>
  <c r="E21" i="2"/>
  <c r="E15" i="2"/>
  <c r="E11" i="2"/>
  <c r="E18" i="2"/>
  <c r="E22" i="2"/>
  <c r="G167" i="21"/>
  <c r="F188" i="21" s="1"/>
  <c r="G166" i="21"/>
  <c r="G165" i="21"/>
  <c r="C143" i="17"/>
  <c r="C143" i="16"/>
  <c r="F165" i="21"/>
  <c r="F164" i="21"/>
  <c r="F184" i="21"/>
  <c r="M36" i="14"/>
  <c r="K36" i="14"/>
  <c r="I36" i="14"/>
  <c r="G36" i="14"/>
  <c r="E36" i="14"/>
  <c r="C36" i="14"/>
  <c r="M18" i="14"/>
  <c r="K18" i="14"/>
  <c r="I18" i="14"/>
  <c r="C143" i="18" s="1"/>
  <c r="G18" i="14"/>
  <c r="C144" i="17" s="1"/>
  <c r="E18" i="14"/>
  <c r="C144" i="16" s="1"/>
  <c r="C18" i="14"/>
  <c r="D247" i="21"/>
  <c r="D248" i="21"/>
  <c r="D249" i="21"/>
  <c r="D250" i="21"/>
  <c r="D251" i="21"/>
  <c r="D246" i="21"/>
  <c r="C173" i="21"/>
  <c r="C174" i="21"/>
  <c r="C175" i="21"/>
  <c r="C176" i="21"/>
  <c r="C177" i="21"/>
  <c r="C172" i="21"/>
  <c r="AC46" i="2" l="1"/>
  <c r="F65" i="21"/>
  <c r="B217" i="21"/>
  <c r="C142" i="18"/>
  <c r="C151" i="19"/>
  <c r="G65" i="21"/>
  <c r="H75" i="21" s="1"/>
  <c r="B206" i="21"/>
  <c r="F186" i="21"/>
  <c r="D252" i="21"/>
  <c r="F185" i="21"/>
  <c r="F187" i="21"/>
  <c r="C150" i="20"/>
  <c r="Q46" i="2"/>
  <c r="B140" i="21"/>
  <c r="B141" i="21"/>
  <c r="B142" i="21"/>
  <c r="B143" i="21"/>
  <c r="B144" i="21"/>
  <c r="B139" i="21"/>
  <c r="G113" i="21"/>
  <c r="F113" i="21"/>
  <c r="E113" i="21"/>
  <c r="G112" i="21"/>
  <c r="F112" i="21"/>
  <c r="E112" i="21"/>
  <c r="G108" i="21"/>
  <c r="F108" i="21"/>
  <c r="E108" i="21"/>
  <c r="G107" i="21"/>
  <c r="F107" i="21"/>
  <c r="E107" i="21"/>
  <c r="F104" i="21"/>
  <c r="G103" i="21"/>
  <c r="G102" i="21"/>
  <c r="E102" i="21"/>
  <c r="E104" i="21" s="1"/>
  <c r="F99" i="21"/>
  <c r="G98" i="21"/>
  <c r="G97" i="21"/>
  <c r="E97" i="21"/>
  <c r="E99" i="21" s="1"/>
  <c r="E92" i="21"/>
  <c r="E94" i="21" s="1"/>
  <c r="G93" i="21"/>
  <c r="G92" i="21"/>
  <c r="F94" i="21"/>
  <c r="G88" i="21"/>
  <c r="G87" i="21"/>
  <c r="F89" i="21"/>
  <c r="E89" i="21"/>
  <c r="B54" i="21"/>
  <c r="B55" i="21"/>
  <c r="B56" i="21"/>
  <c r="B20" i="21"/>
  <c r="B19" i="21"/>
  <c r="E8" i="2"/>
  <c r="D217" i="21" l="1"/>
  <c r="F19" i="21"/>
  <c r="B46" i="21" s="1"/>
  <c r="K17" i="14"/>
  <c r="F20" i="21"/>
  <c r="B177" i="21" s="1"/>
  <c r="C134" i="21" s="1"/>
  <c r="M17" i="14"/>
  <c r="C134" i="20" s="1"/>
  <c r="B153" i="21"/>
  <c r="B44" i="21"/>
  <c r="AI31" i="2"/>
  <c r="AI7" i="2"/>
  <c r="AI30" i="2"/>
  <c r="AI29" i="2"/>
  <c r="AI9" i="2"/>
  <c r="AI8" i="2"/>
  <c r="B152" i="21"/>
  <c r="C45" i="21"/>
  <c r="B175" i="21"/>
  <c r="B174" i="21"/>
  <c r="C131" i="21" s="1"/>
  <c r="B176" i="21"/>
  <c r="C133" i="21" s="1"/>
  <c r="F198" i="21" s="1"/>
  <c r="C43" i="21"/>
  <c r="B173" i="21"/>
  <c r="C130" i="21" s="1"/>
  <c r="D42" i="21"/>
  <c r="B194" i="21" s="1"/>
  <c r="C194" i="21" s="1"/>
  <c r="B172" i="21"/>
  <c r="C129" i="21" s="1"/>
  <c r="E109" i="21"/>
  <c r="G114" i="21"/>
  <c r="G99" i="21"/>
  <c r="B155" i="21"/>
  <c r="B154" i="21"/>
  <c r="G104" i="21"/>
  <c r="G94" i="21"/>
  <c r="E114" i="21"/>
  <c r="F114" i="21"/>
  <c r="G89" i="21"/>
  <c r="G109" i="21"/>
  <c r="F109" i="21"/>
  <c r="M32" i="14"/>
  <c r="M33" i="14"/>
  <c r="M3" i="14"/>
  <c r="M4" i="14"/>
  <c r="K32" i="14"/>
  <c r="K33" i="14"/>
  <c r="K3" i="14"/>
  <c r="K4" i="14"/>
  <c r="I32" i="14"/>
  <c r="I33" i="14"/>
  <c r="I3" i="14"/>
  <c r="I4" i="14"/>
  <c r="G32" i="14"/>
  <c r="G33" i="14"/>
  <c r="G3" i="14"/>
  <c r="G4" i="14"/>
  <c r="E32" i="14"/>
  <c r="E33" i="14"/>
  <c r="E3" i="14"/>
  <c r="E4" i="14"/>
  <c r="C32" i="14"/>
  <c r="C33" i="14"/>
  <c r="C3" i="14"/>
  <c r="C4" i="14"/>
  <c r="AF68" i="2"/>
  <c r="AF69" i="2"/>
  <c r="AF53" i="2"/>
  <c r="AF54" i="2"/>
  <c r="Z68" i="2"/>
  <c r="Z69" i="2"/>
  <c r="Z53" i="2"/>
  <c r="Z54" i="2"/>
  <c r="T68" i="2"/>
  <c r="T69" i="2"/>
  <c r="T53" i="2"/>
  <c r="T54" i="2"/>
  <c r="N68" i="2"/>
  <c r="N69" i="2"/>
  <c r="N53" i="2"/>
  <c r="N54" i="2"/>
  <c r="H68" i="2"/>
  <c r="H69" i="2"/>
  <c r="H53" i="2"/>
  <c r="H54" i="2"/>
  <c r="B68" i="2"/>
  <c r="B69" i="2"/>
  <c r="B53" i="2"/>
  <c r="B54" i="2"/>
  <c r="C178" i="20"/>
  <c r="D178" i="20"/>
  <c r="C179" i="20"/>
  <c r="D179" i="20"/>
  <c r="C181" i="20"/>
  <c r="D181" i="20"/>
  <c r="C182" i="20"/>
  <c r="D182" i="20"/>
  <c r="C183" i="20"/>
  <c r="D183" i="20"/>
  <c r="C184" i="20"/>
  <c r="D184" i="20"/>
  <c r="C185" i="20"/>
  <c r="D185" i="20"/>
  <c r="C186" i="20"/>
  <c r="D186" i="20"/>
  <c r="C187" i="20"/>
  <c r="D187" i="20"/>
  <c r="D188" i="20"/>
  <c r="C189" i="20"/>
  <c r="D189" i="20"/>
  <c r="D190" i="20"/>
  <c r="C191" i="20"/>
  <c r="D191" i="20"/>
  <c r="C192" i="20"/>
  <c r="D192" i="20"/>
  <c r="C193" i="20"/>
  <c r="D193" i="20"/>
  <c r="C194" i="20"/>
  <c r="D194" i="20"/>
  <c r="D128" i="20"/>
  <c r="C129" i="20"/>
  <c r="D129" i="20"/>
  <c r="C130" i="20"/>
  <c r="D130" i="20"/>
  <c r="D132" i="20"/>
  <c r="D134" i="20"/>
  <c r="C135" i="20"/>
  <c r="C151" i="20" s="1"/>
  <c r="D135" i="20"/>
  <c r="C136" i="20"/>
  <c r="D136" i="20"/>
  <c r="C137" i="20"/>
  <c r="D137" i="20"/>
  <c r="D139" i="20"/>
  <c r="C141" i="20"/>
  <c r="C167" i="20" s="1"/>
  <c r="D141" i="20"/>
  <c r="C142" i="20"/>
  <c r="C168" i="20" s="1"/>
  <c r="D142" i="20"/>
  <c r="C143" i="20"/>
  <c r="C169" i="20" s="1"/>
  <c r="D143" i="20"/>
  <c r="B100" i="20"/>
  <c r="C100" i="20"/>
  <c r="D100" i="20"/>
  <c r="B101" i="20"/>
  <c r="D101" i="20"/>
  <c r="B102" i="20"/>
  <c r="C102" i="20"/>
  <c r="D102" i="20"/>
  <c r="B105" i="20"/>
  <c r="C105" i="20"/>
  <c r="D105" i="20"/>
  <c r="B106" i="20"/>
  <c r="D106" i="20"/>
  <c r="B107" i="20"/>
  <c r="C107" i="20"/>
  <c r="D107" i="20"/>
  <c r="B110" i="20"/>
  <c r="C110" i="20"/>
  <c r="D110" i="20"/>
  <c r="B111" i="20"/>
  <c r="D111" i="20"/>
  <c r="B112" i="20"/>
  <c r="C112" i="20"/>
  <c r="D112" i="20"/>
  <c r="B63" i="20"/>
  <c r="C63" i="20"/>
  <c r="D63" i="20"/>
  <c r="B64" i="20"/>
  <c r="C64" i="20"/>
  <c r="D64" i="20"/>
  <c r="B65" i="20"/>
  <c r="C65" i="20"/>
  <c r="D65" i="20"/>
  <c r="B67" i="20"/>
  <c r="C67" i="20"/>
  <c r="D67" i="20"/>
  <c r="B68" i="20"/>
  <c r="C68" i="20"/>
  <c r="D68" i="20"/>
  <c r="B69" i="20"/>
  <c r="C69" i="20"/>
  <c r="D69" i="20"/>
  <c r="B70" i="20"/>
  <c r="C70" i="20"/>
  <c r="D70" i="20"/>
  <c r="B71" i="20"/>
  <c r="C71" i="20"/>
  <c r="D71" i="20"/>
  <c r="B46" i="20"/>
  <c r="C46" i="20"/>
  <c r="D46" i="20"/>
  <c r="F46" i="20"/>
  <c r="B47" i="20"/>
  <c r="C47" i="20"/>
  <c r="D47" i="20"/>
  <c r="F47" i="20"/>
  <c r="B48" i="20"/>
  <c r="C48" i="20"/>
  <c r="D48" i="20"/>
  <c r="F48" i="20"/>
  <c r="B49" i="20"/>
  <c r="C49" i="20"/>
  <c r="D49" i="20"/>
  <c r="F49" i="20"/>
  <c r="B50" i="20"/>
  <c r="C50" i="20"/>
  <c r="D50" i="20"/>
  <c r="F50" i="20"/>
  <c r="B51" i="20"/>
  <c r="C51" i="20"/>
  <c r="D51" i="20"/>
  <c r="F51" i="20"/>
  <c r="B52" i="20"/>
  <c r="C52" i="20"/>
  <c r="D52" i="20"/>
  <c r="F52" i="20"/>
  <c r="B53" i="20"/>
  <c r="C53" i="20"/>
  <c r="D53" i="20"/>
  <c r="F53" i="20"/>
  <c r="B54" i="20"/>
  <c r="C54" i="20"/>
  <c r="D54" i="20"/>
  <c r="F54" i="20"/>
  <c r="B55" i="20"/>
  <c r="C55" i="20"/>
  <c r="D55" i="20"/>
  <c r="F55" i="20"/>
  <c r="B17" i="20"/>
  <c r="B74" i="20" s="1"/>
  <c r="C17" i="20"/>
  <c r="D17" i="20"/>
  <c r="D74" i="20" s="1"/>
  <c r="F17" i="20"/>
  <c r="B18" i="20"/>
  <c r="B77" i="20" s="1"/>
  <c r="C18" i="20"/>
  <c r="C77" i="20" s="1"/>
  <c r="D18" i="20"/>
  <c r="D77" i="20" s="1"/>
  <c r="F18" i="20"/>
  <c r="B19" i="20"/>
  <c r="B78" i="20" s="1"/>
  <c r="C19" i="20"/>
  <c r="C78" i="20" s="1"/>
  <c r="D19" i="20"/>
  <c r="D78" i="20" s="1"/>
  <c r="F19" i="20"/>
  <c r="B20" i="20"/>
  <c r="B79" i="20" s="1"/>
  <c r="C20" i="20"/>
  <c r="C79" i="20" s="1"/>
  <c r="D20" i="20"/>
  <c r="D79" i="20" s="1"/>
  <c r="F20" i="20"/>
  <c r="B21" i="20"/>
  <c r="B80" i="20" s="1"/>
  <c r="C21" i="20"/>
  <c r="C80" i="20" s="1"/>
  <c r="D21" i="20"/>
  <c r="D80" i="20" s="1"/>
  <c r="F21" i="20"/>
  <c r="B22" i="20"/>
  <c r="B89" i="20" s="1"/>
  <c r="C22" i="20"/>
  <c r="C89" i="20" s="1"/>
  <c r="D22" i="20"/>
  <c r="D89" i="20" s="1"/>
  <c r="F22" i="20"/>
  <c r="B23" i="20"/>
  <c r="B75" i="20" s="1"/>
  <c r="C23" i="20"/>
  <c r="C75" i="20" s="1"/>
  <c r="D23" i="20"/>
  <c r="D75" i="20" s="1"/>
  <c r="F23" i="20"/>
  <c r="B24" i="20"/>
  <c r="B76" i="20" s="1"/>
  <c r="C24" i="20"/>
  <c r="C76" i="20" s="1"/>
  <c r="D24" i="20"/>
  <c r="D76" i="20" s="1"/>
  <c r="F24" i="20"/>
  <c r="B25" i="20"/>
  <c r="B90" i="20" s="1"/>
  <c r="C25" i="20"/>
  <c r="C90" i="20" s="1"/>
  <c r="D25" i="20"/>
  <c r="D90" i="20" s="1"/>
  <c r="F25" i="20"/>
  <c r="B26" i="20"/>
  <c r="B91" i="20" s="1"/>
  <c r="C26" i="20"/>
  <c r="C91" i="20" s="1"/>
  <c r="D26" i="20"/>
  <c r="D91" i="20" s="1"/>
  <c r="F26" i="20"/>
  <c r="B27" i="20"/>
  <c r="B84" i="20" s="1"/>
  <c r="C27" i="20"/>
  <c r="C84" i="20" s="1"/>
  <c r="D27" i="20"/>
  <c r="D84" i="20" s="1"/>
  <c r="F27" i="20"/>
  <c r="B28" i="20"/>
  <c r="B92" i="20" s="1"/>
  <c r="C28" i="20"/>
  <c r="C92" i="20" s="1"/>
  <c r="D28" i="20"/>
  <c r="D92" i="20" s="1"/>
  <c r="F28" i="20"/>
  <c r="B29" i="20"/>
  <c r="B85" i="20" s="1"/>
  <c r="C29" i="20"/>
  <c r="C85" i="20" s="1"/>
  <c r="D29" i="20"/>
  <c r="D85" i="20" s="1"/>
  <c r="F29" i="20"/>
  <c r="B30" i="20"/>
  <c r="B93" i="20" s="1"/>
  <c r="C30" i="20"/>
  <c r="C93" i="20" s="1"/>
  <c r="D30" i="20"/>
  <c r="D93" i="20" s="1"/>
  <c r="F30" i="20"/>
  <c r="B31" i="20"/>
  <c r="B86" i="20" s="1"/>
  <c r="C31" i="20"/>
  <c r="C86" i="20" s="1"/>
  <c r="D31" i="20"/>
  <c r="D86" i="20" s="1"/>
  <c r="F31" i="20"/>
  <c r="B32" i="20"/>
  <c r="B87" i="20" s="1"/>
  <c r="C32" i="20"/>
  <c r="C87" i="20" s="1"/>
  <c r="D32" i="20"/>
  <c r="D87" i="20" s="1"/>
  <c r="F32" i="20"/>
  <c r="B33" i="20"/>
  <c r="B81" i="20" s="1"/>
  <c r="C33" i="20"/>
  <c r="C81" i="20" s="1"/>
  <c r="D33" i="20"/>
  <c r="D81" i="20" s="1"/>
  <c r="F33" i="20"/>
  <c r="B34" i="20"/>
  <c r="B82" i="20" s="1"/>
  <c r="C34" i="20"/>
  <c r="C82" i="20" s="1"/>
  <c r="D34" i="20"/>
  <c r="D82" i="20" s="1"/>
  <c r="F34" i="20"/>
  <c r="B35" i="20"/>
  <c r="B88" i="20" s="1"/>
  <c r="C35" i="20"/>
  <c r="C88" i="20" s="1"/>
  <c r="D35" i="20"/>
  <c r="D88" i="20" s="1"/>
  <c r="F35" i="20"/>
  <c r="B37" i="20"/>
  <c r="B94" i="20" s="1"/>
  <c r="F37" i="20"/>
  <c r="B36" i="20"/>
  <c r="B83" i="20" s="1"/>
  <c r="C36" i="20"/>
  <c r="C83" i="20" s="1"/>
  <c r="D36" i="20"/>
  <c r="D83" i="20" s="1"/>
  <c r="F36" i="20"/>
  <c r="B38" i="20"/>
  <c r="C38" i="20"/>
  <c r="D38" i="20"/>
  <c r="F38" i="20"/>
  <c r="B39" i="20"/>
  <c r="C39" i="20"/>
  <c r="D39" i="20"/>
  <c r="F39" i="20"/>
  <c r="B40" i="20"/>
  <c r="C40" i="20"/>
  <c r="D40" i="20"/>
  <c r="F40" i="20"/>
  <c r="B41" i="20"/>
  <c r="C41" i="20"/>
  <c r="D41" i="20"/>
  <c r="F41" i="20"/>
  <c r="C8" i="20"/>
  <c r="C7" i="20"/>
  <c r="F194" i="20"/>
  <c r="F193" i="20"/>
  <c r="F192" i="20"/>
  <c r="F191" i="20"/>
  <c r="F190" i="20"/>
  <c r="F189" i="20"/>
  <c r="F188" i="20"/>
  <c r="F187" i="20"/>
  <c r="F186" i="20"/>
  <c r="F185" i="20"/>
  <c r="F184" i="20"/>
  <c r="F183" i="20"/>
  <c r="F182" i="20"/>
  <c r="F181" i="20"/>
  <c r="F180" i="20"/>
  <c r="F179" i="20"/>
  <c r="F178" i="20"/>
  <c r="F172" i="20"/>
  <c r="F171" i="20"/>
  <c r="F170" i="20"/>
  <c r="F169" i="20"/>
  <c r="F168" i="20"/>
  <c r="F167" i="20"/>
  <c r="F165" i="20"/>
  <c r="F164" i="20"/>
  <c r="F162" i="20"/>
  <c r="F161" i="20"/>
  <c r="F160" i="20"/>
  <c r="F159" i="20"/>
  <c r="F158" i="20"/>
  <c r="F157" i="20"/>
  <c r="F156" i="20"/>
  <c r="F155" i="20"/>
  <c r="F153" i="20"/>
  <c r="F152" i="20"/>
  <c r="F151" i="20"/>
  <c r="F150" i="20"/>
  <c r="F149" i="20"/>
  <c r="F148" i="20"/>
  <c r="F143" i="20"/>
  <c r="F139" i="20"/>
  <c r="F135" i="20"/>
  <c r="F134" i="20"/>
  <c r="F132" i="20"/>
  <c r="F130" i="20"/>
  <c r="F129" i="20"/>
  <c r="F128" i="20"/>
  <c r="F112" i="20"/>
  <c r="F111" i="20"/>
  <c r="F107" i="20"/>
  <c r="F106" i="20"/>
  <c r="F102" i="20"/>
  <c r="F101" i="20"/>
  <c r="F70" i="20"/>
  <c r="F68" i="20"/>
  <c r="F64" i="20"/>
  <c r="J55" i="20"/>
  <c r="H55" i="20"/>
  <c r="J54" i="20"/>
  <c r="H54" i="20"/>
  <c r="J53" i="20"/>
  <c r="H53" i="20"/>
  <c r="J52" i="20"/>
  <c r="H52" i="20"/>
  <c r="J51" i="20"/>
  <c r="H51" i="20"/>
  <c r="J50" i="20"/>
  <c r="H50" i="20"/>
  <c r="J49" i="20"/>
  <c r="H49" i="20"/>
  <c r="J48" i="20"/>
  <c r="H48" i="20"/>
  <c r="J47" i="20"/>
  <c r="H47" i="20"/>
  <c r="J46" i="20"/>
  <c r="H46" i="20"/>
  <c r="J41" i="20"/>
  <c r="H41" i="20"/>
  <c r="J40" i="20"/>
  <c r="H40" i="20"/>
  <c r="J38" i="20"/>
  <c r="H38" i="20"/>
  <c r="J36" i="20"/>
  <c r="H36" i="20"/>
  <c r="J37" i="20"/>
  <c r="H37" i="20"/>
  <c r="J35" i="20"/>
  <c r="H35" i="20"/>
  <c r="J34" i="20"/>
  <c r="H34" i="20"/>
  <c r="J33" i="20"/>
  <c r="H33" i="20"/>
  <c r="J32" i="20"/>
  <c r="H32" i="20"/>
  <c r="J31" i="20"/>
  <c r="H31" i="20"/>
  <c r="J30" i="20"/>
  <c r="H30" i="20"/>
  <c r="J29" i="20"/>
  <c r="H29" i="20"/>
  <c r="J28" i="20"/>
  <c r="H28" i="20"/>
  <c r="J27" i="20"/>
  <c r="H27" i="20"/>
  <c r="J26" i="20"/>
  <c r="H26" i="20"/>
  <c r="J25" i="20"/>
  <c r="H25" i="20"/>
  <c r="J24" i="20"/>
  <c r="H24" i="20"/>
  <c r="J23" i="20"/>
  <c r="H23" i="20"/>
  <c r="J22" i="20"/>
  <c r="H22" i="20"/>
  <c r="J21" i="20"/>
  <c r="H21" i="20"/>
  <c r="J20" i="20"/>
  <c r="H20" i="20"/>
  <c r="J19" i="20"/>
  <c r="H19" i="20"/>
  <c r="J18" i="20"/>
  <c r="H18" i="20"/>
  <c r="J17" i="20"/>
  <c r="H17" i="20"/>
  <c r="C8" i="19"/>
  <c r="C7" i="19"/>
  <c r="C179" i="19"/>
  <c r="D179" i="19"/>
  <c r="C180" i="19"/>
  <c r="D180" i="19"/>
  <c r="C182" i="19"/>
  <c r="D182" i="19"/>
  <c r="C183" i="19"/>
  <c r="D183" i="19"/>
  <c r="C184" i="19"/>
  <c r="D184" i="19"/>
  <c r="C185" i="19"/>
  <c r="D185" i="19"/>
  <c r="C186" i="19"/>
  <c r="D186" i="19"/>
  <c r="C187" i="19"/>
  <c r="D187" i="19"/>
  <c r="C188" i="19"/>
  <c r="D188" i="19"/>
  <c r="C189" i="19"/>
  <c r="D189" i="19"/>
  <c r="C190" i="19"/>
  <c r="D190" i="19"/>
  <c r="D191" i="19"/>
  <c r="C192" i="19"/>
  <c r="D192" i="19"/>
  <c r="C193" i="19"/>
  <c r="D193" i="19"/>
  <c r="C194" i="19"/>
  <c r="D194" i="19"/>
  <c r="C195" i="19"/>
  <c r="D195" i="19"/>
  <c r="D129" i="19"/>
  <c r="C130" i="19"/>
  <c r="D130" i="19"/>
  <c r="C131" i="19"/>
  <c r="D131" i="19"/>
  <c r="D133" i="19"/>
  <c r="C135" i="19"/>
  <c r="D135" i="19"/>
  <c r="C136" i="19"/>
  <c r="C152" i="19" s="1"/>
  <c r="D136" i="19"/>
  <c r="C137" i="19"/>
  <c r="D137" i="19"/>
  <c r="C138" i="19"/>
  <c r="D138" i="19"/>
  <c r="D140" i="19"/>
  <c r="C142" i="19"/>
  <c r="C168" i="19" s="1"/>
  <c r="D142" i="19"/>
  <c r="C143" i="19"/>
  <c r="C169" i="19" s="1"/>
  <c r="D143" i="19"/>
  <c r="C144" i="19"/>
  <c r="C170" i="19" s="1"/>
  <c r="D144" i="19"/>
  <c r="B101" i="19"/>
  <c r="C101" i="19"/>
  <c r="D101" i="19"/>
  <c r="B102" i="19"/>
  <c r="D102" i="19"/>
  <c r="B103" i="19"/>
  <c r="C103" i="19"/>
  <c r="D103" i="19"/>
  <c r="B106" i="19"/>
  <c r="C106" i="19"/>
  <c r="D106" i="19"/>
  <c r="B107" i="19"/>
  <c r="D107" i="19"/>
  <c r="B108" i="19"/>
  <c r="C108" i="19"/>
  <c r="D108" i="19"/>
  <c r="B111" i="19"/>
  <c r="C111" i="19"/>
  <c r="D111" i="19"/>
  <c r="B112" i="19"/>
  <c r="D112" i="19"/>
  <c r="B113" i="19"/>
  <c r="C113" i="19"/>
  <c r="D113" i="19"/>
  <c r="B63" i="19"/>
  <c r="C63" i="19"/>
  <c r="D63" i="19"/>
  <c r="B64" i="19"/>
  <c r="C64" i="19"/>
  <c r="D64" i="19"/>
  <c r="B65" i="19"/>
  <c r="C65" i="19"/>
  <c r="D65" i="19"/>
  <c r="B67" i="19"/>
  <c r="C67" i="19"/>
  <c r="D67" i="19"/>
  <c r="B68" i="19"/>
  <c r="C68" i="19"/>
  <c r="D68" i="19"/>
  <c r="B69" i="19"/>
  <c r="C69" i="19"/>
  <c r="D69" i="19"/>
  <c r="B70" i="19"/>
  <c r="C70" i="19"/>
  <c r="D70" i="19"/>
  <c r="B71" i="19"/>
  <c r="C71" i="19"/>
  <c r="D71" i="19"/>
  <c r="B46" i="19"/>
  <c r="C46" i="19"/>
  <c r="D46" i="19"/>
  <c r="F46" i="19"/>
  <c r="B47" i="19"/>
  <c r="C47" i="19"/>
  <c r="D47" i="19"/>
  <c r="F47" i="19"/>
  <c r="B48" i="19"/>
  <c r="C48" i="19"/>
  <c r="D48" i="19"/>
  <c r="F48" i="19"/>
  <c r="B49" i="19"/>
  <c r="C49" i="19"/>
  <c r="D49" i="19"/>
  <c r="F49" i="19"/>
  <c r="B50" i="19"/>
  <c r="C50" i="19"/>
  <c r="D50" i="19"/>
  <c r="F50" i="19"/>
  <c r="B51" i="19"/>
  <c r="C51" i="19"/>
  <c r="D51" i="19"/>
  <c r="F51" i="19"/>
  <c r="B52" i="19"/>
  <c r="C52" i="19"/>
  <c r="D52" i="19"/>
  <c r="F52" i="19"/>
  <c r="B53" i="19"/>
  <c r="C53" i="19"/>
  <c r="D53" i="19"/>
  <c r="F53" i="19"/>
  <c r="B54" i="19"/>
  <c r="C54" i="19"/>
  <c r="D54" i="19"/>
  <c r="F54" i="19"/>
  <c r="B55" i="19"/>
  <c r="C55" i="19"/>
  <c r="D55" i="19"/>
  <c r="F55" i="19"/>
  <c r="B17" i="19"/>
  <c r="B74" i="19" s="1"/>
  <c r="C17" i="19"/>
  <c r="D17" i="19"/>
  <c r="D74" i="19" s="1"/>
  <c r="F17" i="19"/>
  <c r="B18" i="19"/>
  <c r="B77" i="19" s="1"/>
  <c r="C18" i="19"/>
  <c r="C77" i="19" s="1"/>
  <c r="D18" i="19"/>
  <c r="D77" i="19" s="1"/>
  <c r="F18" i="19"/>
  <c r="B19" i="19"/>
  <c r="B78" i="19" s="1"/>
  <c r="C19" i="19"/>
  <c r="C78" i="19" s="1"/>
  <c r="D19" i="19"/>
  <c r="D78" i="19" s="1"/>
  <c r="F19" i="19"/>
  <c r="B20" i="19"/>
  <c r="B79" i="19" s="1"/>
  <c r="C20" i="19"/>
  <c r="C79" i="19" s="1"/>
  <c r="D20" i="19"/>
  <c r="D79" i="19" s="1"/>
  <c r="F20" i="19"/>
  <c r="B84" i="19"/>
  <c r="C21" i="19"/>
  <c r="C84" i="19" s="1"/>
  <c r="E84" i="19" s="1"/>
  <c r="D21" i="19"/>
  <c r="D84" i="19" s="1"/>
  <c r="F21" i="19"/>
  <c r="B22" i="19"/>
  <c r="B83" i="19" s="1"/>
  <c r="C22" i="19"/>
  <c r="C83" i="19" s="1"/>
  <c r="D22" i="19"/>
  <c r="D83" i="19" s="1"/>
  <c r="F22" i="19"/>
  <c r="B23" i="19"/>
  <c r="B85" i="19" s="1"/>
  <c r="C23" i="19"/>
  <c r="C85" i="19" s="1"/>
  <c r="D23" i="19"/>
  <c r="D85" i="19" s="1"/>
  <c r="F23" i="19"/>
  <c r="B24" i="19"/>
  <c r="B75" i="19" s="1"/>
  <c r="C24" i="19"/>
  <c r="C75" i="19" s="1"/>
  <c r="D24" i="19"/>
  <c r="D75" i="19" s="1"/>
  <c r="F24" i="19"/>
  <c r="B25" i="19"/>
  <c r="B76" i="19" s="1"/>
  <c r="C25" i="19"/>
  <c r="C76" i="19" s="1"/>
  <c r="D25" i="19"/>
  <c r="D76" i="19" s="1"/>
  <c r="F25" i="19"/>
  <c r="B26" i="19"/>
  <c r="B91" i="19" s="1"/>
  <c r="C26" i="19"/>
  <c r="C91" i="19" s="1"/>
  <c r="D26" i="19"/>
  <c r="D91" i="19" s="1"/>
  <c r="F26" i="19"/>
  <c r="B27" i="19"/>
  <c r="B92" i="19" s="1"/>
  <c r="C27" i="19"/>
  <c r="C92" i="19" s="1"/>
  <c r="D27" i="19"/>
  <c r="D92" i="19" s="1"/>
  <c r="F27" i="19"/>
  <c r="B28" i="19"/>
  <c r="B86" i="19" s="1"/>
  <c r="C28" i="19"/>
  <c r="C86" i="19" s="1"/>
  <c r="D28" i="19"/>
  <c r="D86" i="19" s="1"/>
  <c r="F28" i="19"/>
  <c r="B29" i="19"/>
  <c r="B93" i="19" s="1"/>
  <c r="C29" i="19"/>
  <c r="C93" i="19" s="1"/>
  <c r="D29" i="19"/>
  <c r="D93" i="19" s="1"/>
  <c r="F29" i="19"/>
  <c r="B30" i="19"/>
  <c r="B87" i="19" s="1"/>
  <c r="C30" i="19"/>
  <c r="C87" i="19" s="1"/>
  <c r="D30" i="19"/>
  <c r="D87" i="19" s="1"/>
  <c r="F30" i="19"/>
  <c r="B31" i="19"/>
  <c r="B94" i="19" s="1"/>
  <c r="C31" i="19"/>
  <c r="C94" i="19" s="1"/>
  <c r="D31" i="19"/>
  <c r="D94" i="19" s="1"/>
  <c r="F31" i="19"/>
  <c r="B32" i="19"/>
  <c r="B88" i="19" s="1"/>
  <c r="C32" i="19"/>
  <c r="C88" i="19" s="1"/>
  <c r="D32" i="19"/>
  <c r="D88" i="19" s="1"/>
  <c r="F32" i="19"/>
  <c r="B33" i="19"/>
  <c r="B89" i="19" s="1"/>
  <c r="C33" i="19"/>
  <c r="C89" i="19" s="1"/>
  <c r="D33" i="19"/>
  <c r="D89" i="19" s="1"/>
  <c r="F33" i="19"/>
  <c r="B34" i="19"/>
  <c r="B80" i="19" s="1"/>
  <c r="C34" i="19"/>
  <c r="C80" i="19" s="1"/>
  <c r="D34" i="19"/>
  <c r="D80" i="19" s="1"/>
  <c r="F34" i="19"/>
  <c r="B35" i="19"/>
  <c r="B81" i="19" s="1"/>
  <c r="C35" i="19"/>
  <c r="C81" i="19" s="1"/>
  <c r="D35" i="19"/>
  <c r="D81" i="19" s="1"/>
  <c r="F35" i="19"/>
  <c r="B36" i="19"/>
  <c r="B90" i="19" s="1"/>
  <c r="C36" i="19"/>
  <c r="C90" i="19" s="1"/>
  <c r="D36" i="19"/>
  <c r="D90" i="19" s="1"/>
  <c r="F36" i="19"/>
  <c r="B38" i="19"/>
  <c r="B95" i="19" s="1"/>
  <c r="F38" i="19"/>
  <c r="B37" i="19"/>
  <c r="B82" i="19" s="1"/>
  <c r="C37" i="19"/>
  <c r="C82" i="19" s="1"/>
  <c r="D37" i="19"/>
  <c r="D82" i="19" s="1"/>
  <c r="F37" i="19"/>
  <c r="B39" i="19"/>
  <c r="C39" i="19"/>
  <c r="D39" i="19"/>
  <c r="F39" i="19"/>
  <c r="B40" i="19"/>
  <c r="C40" i="19"/>
  <c r="D40" i="19"/>
  <c r="F40" i="19"/>
  <c r="B41" i="19"/>
  <c r="C41" i="19"/>
  <c r="D41" i="19"/>
  <c r="F41" i="19"/>
  <c r="F195" i="19"/>
  <c r="F194" i="19"/>
  <c r="F193" i="19"/>
  <c r="F192" i="19"/>
  <c r="F191" i="19"/>
  <c r="F190" i="19"/>
  <c r="F189" i="19"/>
  <c r="F188" i="19"/>
  <c r="F187" i="19"/>
  <c r="F186" i="19"/>
  <c r="F185" i="19"/>
  <c r="F184" i="19"/>
  <c r="F183" i="19"/>
  <c r="F182" i="19"/>
  <c r="F181" i="19"/>
  <c r="F180" i="19"/>
  <c r="F179" i="19"/>
  <c r="F173" i="19"/>
  <c r="F172" i="19"/>
  <c r="F171" i="19"/>
  <c r="F170" i="19"/>
  <c r="F169" i="19"/>
  <c r="F168" i="19"/>
  <c r="F166" i="19"/>
  <c r="F165" i="19"/>
  <c r="F163" i="19"/>
  <c r="F162" i="19"/>
  <c r="F161" i="19"/>
  <c r="F160" i="19"/>
  <c r="F159" i="19"/>
  <c r="F158" i="19"/>
  <c r="F157" i="19"/>
  <c r="F156" i="19"/>
  <c r="F154" i="19"/>
  <c r="F153" i="19"/>
  <c r="F152" i="19"/>
  <c r="F151" i="19"/>
  <c r="F150" i="19"/>
  <c r="F149" i="19"/>
  <c r="F144" i="19"/>
  <c r="F140" i="19"/>
  <c r="F136" i="19"/>
  <c r="F135" i="19"/>
  <c r="F133" i="19"/>
  <c r="F131" i="19"/>
  <c r="F130" i="19"/>
  <c r="F129" i="19"/>
  <c r="F113" i="19"/>
  <c r="F112" i="19"/>
  <c r="F108" i="19"/>
  <c r="F107" i="19"/>
  <c r="F103" i="19"/>
  <c r="F102" i="19"/>
  <c r="F70" i="19"/>
  <c r="F68" i="19"/>
  <c r="F64" i="19"/>
  <c r="J55" i="19"/>
  <c r="H55" i="19"/>
  <c r="J54" i="19"/>
  <c r="H54" i="19"/>
  <c r="J53" i="19"/>
  <c r="H53" i="19"/>
  <c r="J52" i="19"/>
  <c r="H52" i="19"/>
  <c r="J51" i="19"/>
  <c r="H51" i="19"/>
  <c r="J50" i="19"/>
  <c r="H50" i="19"/>
  <c r="J49" i="19"/>
  <c r="H49" i="19"/>
  <c r="J48" i="19"/>
  <c r="H48" i="19"/>
  <c r="J47" i="19"/>
  <c r="H47" i="19"/>
  <c r="J46" i="19"/>
  <c r="H46" i="19"/>
  <c r="J41" i="19"/>
  <c r="H41" i="19"/>
  <c r="J40" i="19"/>
  <c r="H40" i="19"/>
  <c r="J37" i="19"/>
  <c r="H37" i="19"/>
  <c r="J38" i="19"/>
  <c r="H38" i="19"/>
  <c r="J36" i="19"/>
  <c r="H36" i="19"/>
  <c r="J35" i="19"/>
  <c r="H35" i="19"/>
  <c r="J34" i="19"/>
  <c r="H34" i="19"/>
  <c r="J33" i="19"/>
  <c r="H33" i="19"/>
  <c r="J32" i="19"/>
  <c r="H32" i="19"/>
  <c r="J31" i="19"/>
  <c r="H31" i="19"/>
  <c r="J30" i="19"/>
  <c r="H30" i="19"/>
  <c r="J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C170" i="18"/>
  <c r="D170" i="18"/>
  <c r="C171" i="18"/>
  <c r="D171" i="18"/>
  <c r="D173" i="18"/>
  <c r="C174" i="18"/>
  <c r="D174" i="18"/>
  <c r="C175" i="18"/>
  <c r="D175" i="18"/>
  <c r="C176" i="18"/>
  <c r="D176" i="18"/>
  <c r="C177" i="18"/>
  <c r="D177" i="18"/>
  <c r="C178" i="18"/>
  <c r="D178" i="18"/>
  <c r="C179" i="18"/>
  <c r="D179" i="18"/>
  <c r="C180" i="18"/>
  <c r="D180" i="18"/>
  <c r="C181" i="18"/>
  <c r="D181" i="18"/>
  <c r="D182" i="18"/>
  <c r="C183" i="18"/>
  <c r="D183" i="18"/>
  <c r="C184" i="18"/>
  <c r="D184" i="18"/>
  <c r="C185" i="18"/>
  <c r="D185" i="18"/>
  <c r="C186" i="18"/>
  <c r="D186" i="18"/>
  <c r="D120" i="18"/>
  <c r="C121" i="18"/>
  <c r="D121" i="18"/>
  <c r="C122" i="18"/>
  <c r="D122" i="18"/>
  <c r="D124" i="18"/>
  <c r="C126" i="18"/>
  <c r="D126" i="18"/>
  <c r="C127" i="18"/>
  <c r="D127" i="18"/>
  <c r="C128" i="18"/>
  <c r="D128" i="18"/>
  <c r="C129" i="18"/>
  <c r="D129" i="18"/>
  <c r="D131" i="18"/>
  <c r="C159" i="18"/>
  <c r="C134" i="18"/>
  <c r="C160" i="18" s="1"/>
  <c r="D134" i="18"/>
  <c r="C135" i="18"/>
  <c r="C161" i="18" s="1"/>
  <c r="D135" i="18"/>
  <c r="B92" i="18"/>
  <c r="C92" i="18"/>
  <c r="D92" i="18"/>
  <c r="B93" i="18"/>
  <c r="D93" i="18"/>
  <c r="B94" i="18"/>
  <c r="C94" i="18"/>
  <c r="D94" i="18"/>
  <c r="B97" i="18"/>
  <c r="C97" i="18"/>
  <c r="D97" i="18"/>
  <c r="B98" i="18"/>
  <c r="D98" i="18"/>
  <c r="B99" i="18"/>
  <c r="C99" i="18"/>
  <c r="D99" i="18"/>
  <c r="B102" i="18"/>
  <c r="C102" i="18"/>
  <c r="D102" i="18"/>
  <c r="B103" i="18"/>
  <c r="D103" i="18"/>
  <c r="B104" i="18"/>
  <c r="C104" i="18"/>
  <c r="D104" i="18"/>
  <c r="B63" i="18"/>
  <c r="C63" i="18"/>
  <c r="D63" i="18"/>
  <c r="B64" i="18"/>
  <c r="C64" i="18"/>
  <c r="D64" i="18"/>
  <c r="B65" i="18"/>
  <c r="C65" i="18"/>
  <c r="D65" i="18"/>
  <c r="B67" i="18"/>
  <c r="C67" i="18"/>
  <c r="D67" i="18"/>
  <c r="B68" i="18"/>
  <c r="C68" i="18"/>
  <c r="D68" i="18"/>
  <c r="B69" i="18"/>
  <c r="C69" i="18"/>
  <c r="D69" i="18"/>
  <c r="B70" i="18"/>
  <c r="C70" i="18"/>
  <c r="D70" i="18"/>
  <c r="B71" i="18"/>
  <c r="C71" i="18"/>
  <c r="D71" i="18"/>
  <c r="C8" i="17"/>
  <c r="C7" i="17"/>
  <c r="C8" i="18"/>
  <c r="C7" i="18"/>
  <c r="F186" i="18"/>
  <c r="F185" i="18"/>
  <c r="F184" i="18"/>
  <c r="F183" i="18"/>
  <c r="F182" i="18"/>
  <c r="F181" i="18"/>
  <c r="F180" i="18"/>
  <c r="F179" i="18"/>
  <c r="F178" i="18"/>
  <c r="F177" i="18"/>
  <c r="F176" i="18"/>
  <c r="F175" i="18"/>
  <c r="F174" i="18"/>
  <c r="F173" i="18"/>
  <c r="F172" i="18"/>
  <c r="F171" i="18"/>
  <c r="F170" i="18"/>
  <c r="F164" i="18"/>
  <c r="F163" i="18"/>
  <c r="F162" i="18"/>
  <c r="F161" i="18"/>
  <c r="F160" i="18"/>
  <c r="F159" i="18"/>
  <c r="F157" i="18"/>
  <c r="F156" i="18"/>
  <c r="F154" i="18"/>
  <c r="F153" i="18"/>
  <c r="F152" i="18"/>
  <c r="F151" i="18"/>
  <c r="F150" i="18"/>
  <c r="F149" i="18"/>
  <c r="F148" i="18"/>
  <c r="F147" i="18"/>
  <c r="F145" i="18"/>
  <c r="F144" i="18"/>
  <c r="F143" i="18"/>
  <c r="F142" i="18"/>
  <c r="F141" i="18"/>
  <c r="F140" i="18"/>
  <c r="F135" i="18"/>
  <c r="F131" i="18"/>
  <c r="F127" i="18"/>
  <c r="F126" i="18"/>
  <c r="F124" i="18"/>
  <c r="F122" i="18"/>
  <c r="F121" i="18"/>
  <c r="F120" i="18"/>
  <c r="F104" i="18"/>
  <c r="F103" i="18"/>
  <c r="F99" i="18"/>
  <c r="F98" i="18"/>
  <c r="F94" i="18"/>
  <c r="F93" i="18"/>
  <c r="F70" i="18"/>
  <c r="F68" i="18"/>
  <c r="F64" i="18"/>
  <c r="J55" i="18"/>
  <c r="H55" i="18"/>
  <c r="F55" i="18"/>
  <c r="D55" i="18"/>
  <c r="C55" i="18"/>
  <c r="B55" i="18"/>
  <c r="J54" i="18"/>
  <c r="H54" i="18"/>
  <c r="F54" i="18"/>
  <c r="D54" i="18"/>
  <c r="C54" i="18"/>
  <c r="B54" i="18"/>
  <c r="J53" i="18"/>
  <c r="H53" i="18"/>
  <c r="F53" i="18"/>
  <c r="D53" i="18"/>
  <c r="C53" i="18"/>
  <c r="B53" i="18"/>
  <c r="J52" i="18"/>
  <c r="H52" i="18"/>
  <c r="J51" i="18"/>
  <c r="H51" i="18"/>
  <c r="J50" i="18"/>
  <c r="H50" i="18"/>
  <c r="J49" i="18"/>
  <c r="H49" i="18"/>
  <c r="J48" i="18"/>
  <c r="H48" i="18"/>
  <c r="J47" i="18"/>
  <c r="H47" i="18"/>
  <c r="J46" i="18"/>
  <c r="H46" i="18"/>
  <c r="J41" i="18"/>
  <c r="H41" i="18"/>
  <c r="D41" i="18"/>
  <c r="C41" i="18"/>
  <c r="J40" i="18"/>
  <c r="H40" i="18"/>
  <c r="D40" i="18"/>
  <c r="C40" i="18"/>
  <c r="D39" i="18"/>
  <c r="C39" i="18"/>
  <c r="J38" i="18"/>
  <c r="H38" i="18"/>
  <c r="D38" i="18"/>
  <c r="C38" i="18"/>
  <c r="J37" i="18"/>
  <c r="H37" i="18"/>
  <c r="D37" i="18"/>
  <c r="C37" i="18"/>
  <c r="J36" i="18"/>
  <c r="H36" i="18"/>
  <c r="D36" i="18"/>
  <c r="C36" i="18"/>
  <c r="J35" i="18"/>
  <c r="H35" i="18"/>
  <c r="D35" i="18"/>
  <c r="C35" i="18"/>
  <c r="J34" i="18"/>
  <c r="H34" i="18"/>
  <c r="D34" i="18"/>
  <c r="C34" i="18"/>
  <c r="J33" i="18"/>
  <c r="H33" i="18"/>
  <c r="D33" i="18"/>
  <c r="C33" i="18"/>
  <c r="J32" i="18"/>
  <c r="H32" i="18"/>
  <c r="D32" i="18"/>
  <c r="C32" i="18"/>
  <c r="J31" i="18"/>
  <c r="H31" i="18"/>
  <c r="D31" i="18"/>
  <c r="C31" i="18"/>
  <c r="J29" i="18"/>
  <c r="H29" i="18"/>
  <c r="J30" i="18"/>
  <c r="H30" i="18"/>
  <c r="J28" i="18"/>
  <c r="H28" i="18"/>
  <c r="D28" i="18"/>
  <c r="D81" i="18" s="1"/>
  <c r="C81" i="18"/>
  <c r="B81" i="18"/>
  <c r="J27" i="18"/>
  <c r="H27" i="18"/>
  <c r="D27" i="18"/>
  <c r="D80" i="18" s="1"/>
  <c r="C80" i="18"/>
  <c r="B80" i="18"/>
  <c r="J26" i="18"/>
  <c r="H26" i="18"/>
  <c r="D26" i="18"/>
  <c r="D84" i="18" s="1"/>
  <c r="C84" i="18"/>
  <c r="J25" i="18"/>
  <c r="H25" i="18"/>
  <c r="D25" i="18"/>
  <c r="J24" i="18"/>
  <c r="H24" i="18"/>
  <c r="D24" i="18"/>
  <c r="D85" i="18" s="1"/>
  <c r="J23" i="18"/>
  <c r="H23" i="18"/>
  <c r="D23" i="18"/>
  <c r="D76" i="18" s="1"/>
  <c r="C76" i="18"/>
  <c r="B76" i="18"/>
  <c r="J22" i="18"/>
  <c r="H22" i="18"/>
  <c r="D22" i="18"/>
  <c r="D75" i="18" s="1"/>
  <c r="C75" i="18"/>
  <c r="J21" i="18"/>
  <c r="H21" i="18"/>
  <c r="D21" i="18"/>
  <c r="D83" i="18" s="1"/>
  <c r="C83" i="18"/>
  <c r="E83" i="18" s="1"/>
  <c r="J20" i="18"/>
  <c r="H20" i="18"/>
  <c r="D20" i="18"/>
  <c r="D79" i="18" s="1"/>
  <c r="C79" i="18"/>
  <c r="B79" i="18"/>
  <c r="J19" i="18"/>
  <c r="H19" i="18"/>
  <c r="D19" i="18"/>
  <c r="D78" i="18" s="1"/>
  <c r="C78" i="18"/>
  <c r="B78" i="18"/>
  <c r="J18" i="18"/>
  <c r="H18" i="18"/>
  <c r="D18" i="18"/>
  <c r="D77" i="18" s="1"/>
  <c r="C77" i="18"/>
  <c r="B77" i="18"/>
  <c r="J17" i="18"/>
  <c r="H17" i="18"/>
  <c r="D74" i="18"/>
  <c r="C74" i="18"/>
  <c r="B74" i="18"/>
  <c r="C171" i="17"/>
  <c r="D171" i="17"/>
  <c r="C172" i="17"/>
  <c r="D172" i="17"/>
  <c r="C174" i="17"/>
  <c r="D174" i="17"/>
  <c r="C175" i="17"/>
  <c r="D175" i="17"/>
  <c r="C176" i="17"/>
  <c r="D176" i="17"/>
  <c r="C177" i="17"/>
  <c r="D177" i="17"/>
  <c r="C178" i="17"/>
  <c r="D178" i="17"/>
  <c r="C179" i="17"/>
  <c r="D179" i="17"/>
  <c r="C180" i="17"/>
  <c r="D180" i="17"/>
  <c r="C181" i="17"/>
  <c r="D181" i="17"/>
  <c r="C182" i="17"/>
  <c r="D182" i="17"/>
  <c r="D183" i="17"/>
  <c r="C184" i="17"/>
  <c r="D184" i="17"/>
  <c r="C185" i="17"/>
  <c r="D185" i="17"/>
  <c r="C186" i="17"/>
  <c r="D186" i="17"/>
  <c r="C187" i="17"/>
  <c r="D187" i="17"/>
  <c r="D121" i="17"/>
  <c r="C122" i="17"/>
  <c r="D122" i="17"/>
  <c r="C123" i="17"/>
  <c r="D123" i="17"/>
  <c r="D125" i="17"/>
  <c r="C127" i="17"/>
  <c r="D127" i="17"/>
  <c r="C128" i="17"/>
  <c r="D128" i="17"/>
  <c r="C129" i="17"/>
  <c r="D129" i="17"/>
  <c r="C130" i="17"/>
  <c r="D130" i="17"/>
  <c r="D132" i="17"/>
  <c r="C134" i="17"/>
  <c r="C160" i="17" s="1"/>
  <c r="D134" i="17"/>
  <c r="C135" i="17"/>
  <c r="C161" i="17" s="1"/>
  <c r="D135" i="17"/>
  <c r="C136" i="17"/>
  <c r="C162" i="17" s="1"/>
  <c r="D136" i="17"/>
  <c r="B93" i="17"/>
  <c r="C93" i="17"/>
  <c r="D93" i="17"/>
  <c r="B94" i="17"/>
  <c r="D94" i="17"/>
  <c r="B95" i="17"/>
  <c r="C95" i="17"/>
  <c r="D95" i="17"/>
  <c r="B98" i="17"/>
  <c r="C98" i="17"/>
  <c r="D98" i="17"/>
  <c r="B99" i="17"/>
  <c r="D99" i="17"/>
  <c r="B100" i="17"/>
  <c r="C100" i="17"/>
  <c r="D100" i="17"/>
  <c r="B103" i="17"/>
  <c r="C103" i="17"/>
  <c r="D103" i="17"/>
  <c r="B104" i="17"/>
  <c r="D104" i="17"/>
  <c r="B105" i="17"/>
  <c r="C105" i="17"/>
  <c r="D105" i="17"/>
  <c r="B63" i="17"/>
  <c r="C63" i="17"/>
  <c r="D63" i="17"/>
  <c r="B64" i="17"/>
  <c r="C64" i="17"/>
  <c r="D64" i="17"/>
  <c r="B65" i="17"/>
  <c r="C65" i="17"/>
  <c r="D65" i="17"/>
  <c r="B66" i="17"/>
  <c r="C66" i="17"/>
  <c r="D66" i="17"/>
  <c r="B67" i="17"/>
  <c r="C67" i="17"/>
  <c r="D67" i="17"/>
  <c r="B68" i="17"/>
  <c r="C68" i="17"/>
  <c r="D68" i="17"/>
  <c r="B69" i="17"/>
  <c r="C69" i="17"/>
  <c r="D69" i="17"/>
  <c r="B70" i="17"/>
  <c r="C70" i="17"/>
  <c r="D70" i="17"/>
  <c r="B71" i="17"/>
  <c r="C71" i="17"/>
  <c r="D71" i="17"/>
  <c r="B46" i="17"/>
  <c r="C46" i="17"/>
  <c r="D46" i="17"/>
  <c r="F46" i="17"/>
  <c r="B47" i="17"/>
  <c r="C47" i="17"/>
  <c r="D47" i="17"/>
  <c r="F47" i="17"/>
  <c r="B48" i="17"/>
  <c r="C48" i="17"/>
  <c r="D48" i="17"/>
  <c r="F48" i="17"/>
  <c r="B49" i="17"/>
  <c r="C49" i="17"/>
  <c r="D49" i="17"/>
  <c r="F49" i="17"/>
  <c r="B50" i="17"/>
  <c r="C50" i="17"/>
  <c r="D50" i="17"/>
  <c r="F50" i="17"/>
  <c r="B51" i="17"/>
  <c r="C51" i="17"/>
  <c r="D51" i="17"/>
  <c r="F51" i="17"/>
  <c r="B52" i="17"/>
  <c r="C52" i="17"/>
  <c r="D52" i="17"/>
  <c r="F52" i="17"/>
  <c r="B53" i="17"/>
  <c r="C53" i="17"/>
  <c r="D53" i="17"/>
  <c r="F53" i="17"/>
  <c r="B54" i="17"/>
  <c r="C54" i="17"/>
  <c r="D54" i="17"/>
  <c r="F54" i="17"/>
  <c r="B55" i="17"/>
  <c r="C55" i="17"/>
  <c r="D55" i="17"/>
  <c r="F55" i="17"/>
  <c r="B17" i="17"/>
  <c r="B74" i="17" s="1"/>
  <c r="C17" i="17"/>
  <c r="D17" i="17"/>
  <c r="D74" i="17" s="1"/>
  <c r="F17" i="17"/>
  <c r="B18" i="17"/>
  <c r="B77" i="17" s="1"/>
  <c r="C18" i="17"/>
  <c r="C77" i="17" s="1"/>
  <c r="D18" i="17"/>
  <c r="D77" i="17" s="1"/>
  <c r="F18" i="17"/>
  <c r="B19" i="17"/>
  <c r="B78" i="17" s="1"/>
  <c r="C19" i="17"/>
  <c r="C78" i="17" s="1"/>
  <c r="D19" i="17"/>
  <c r="D78" i="17" s="1"/>
  <c r="F19" i="17"/>
  <c r="B20" i="17"/>
  <c r="B79" i="17" s="1"/>
  <c r="C20" i="17"/>
  <c r="C79" i="17" s="1"/>
  <c r="D20" i="17"/>
  <c r="D79" i="17" s="1"/>
  <c r="F20" i="17"/>
  <c r="B21" i="17"/>
  <c r="B83" i="17" s="1"/>
  <c r="C21" i="17"/>
  <c r="C83" i="17" s="1"/>
  <c r="D21" i="17"/>
  <c r="D83" i="17" s="1"/>
  <c r="F21" i="17"/>
  <c r="B22" i="17"/>
  <c r="B75" i="17" s="1"/>
  <c r="C22" i="17"/>
  <c r="C75" i="17" s="1"/>
  <c r="D22" i="17"/>
  <c r="D75" i="17" s="1"/>
  <c r="F22" i="17"/>
  <c r="B23" i="17"/>
  <c r="B76" i="17" s="1"/>
  <c r="C23" i="17"/>
  <c r="C76" i="17" s="1"/>
  <c r="D23" i="17"/>
  <c r="D76" i="17" s="1"/>
  <c r="F23" i="17"/>
  <c r="B24" i="17"/>
  <c r="B85" i="17" s="1"/>
  <c r="C24" i="17"/>
  <c r="C85" i="17" s="1"/>
  <c r="D24" i="17"/>
  <c r="D85" i="17" s="1"/>
  <c r="F24" i="17"/>
  <c r="B25" i="17"/>
  <c r="B86" i="17" s="1"/>
  <c r="C25" i="17"/>
  <c r="C86" i="17" s="1"/>
  <c r="D25" i="17"/>
  <c r="D86" i="17" s="1"/>
  <c r="F25" i="17"/>
  <c r="B26" i="17"/>
  <c r="B84" i="17" s="1"/>
  <c r="C26" i="17"/>
  <c r="C84" i="17" s="1"/>
  <c r="D26" i="17"/>
  <c r="D84" i="17" s="1"/>
  <c r="F26" i="17"/>
  <c r="B27" i="17"/>
  <c r="B80" i="17" s="1"/>
  <c r="C27" i="17"/>
  <c r="C80" i="17" s="1"/>
  <c r="D27" i="17"/>
  <c r="D80" i="17" s="1"/>
  <c r="F27" i="17"/>
  <c r="B28" i="17"/>
  <c r="B81" i="17" s="1"/>
  <c r="C28" i="17"/>
  <c r="C81" i="17" s="1"/>
  <c r="D28" i="17"/>
  <c r="D81" i="17" s="1"/>
  <c r="F28" i="17"/>
  <c r="B30" i="17"/>
  <c r="B87" i="17" s="1"/>
  <c r="F30" i="17"/>
  <c r="B29" i="17"/>
  <c r="B82" i="17" s="1"/>
  <c r="C29" i="17"/>
  <c r="C82" i="17" s="1"/>
  <c r="D29" i="17"/>
  <c r="D82" i="17" s="1"/>
  <c r="F29" i="17"/>
  <c r="B31" i="17"/>
  <c r="C31" i="17"/>
  <c r="D31" i="17"/>
  <c r="F31" i="17"/>
  <c r="B32" i="17"/>
  <c r="C32" i="17"/>
  <c r="D32" i="17"/>
  <c r="F32" i="17"/>
  <c r="B33" i="17"/>
  <c r="C33" i="17"/>
  <c r="D33" i="17"/>
  <c r="F33" i="17"/>
  <c r="B34" i="17"/>
  <c r="C34" i="17"/>
  <c r="D34" i="17"/>
  <c r="F34" i="17"/>
  <c r="B35" i="17"/>
  <c r="C35" i="17"/>
  <c r="D35" i="17"/>
  <c r="F35" i="17"/>
  <c r="B36" i="17"/>
  <c r="C36" i="17"/>
  <c r="D36" i="17"/>
  <c r="F36" i="17"/>
  <c r="B37" i="17"/>
  <c r="C37" i="17"/>
  <c r="D37" i="17"/>
  <c r="F37" i="17"/>
  <c r="B38" i="17"/>
  <c r="C38" i="17"/>
  <c r="D38" i="17"/>
  <c r="F38" i="17"/>
  <c r="B39" i="17"/>
  <c r="C39" i="17"/>
  <c r="D39" i="17"/>
  <c r="F39" i="17"/>
  <c r="B40" i="17"/>
  <c r="C40" i="17"/>
  <c r="D40" i="17"/>
  <c r="F40" i="17"/>
  <c r="B41" i="17"/>
  <c r="C41" i="17"/>
  <c r="D41" i="17"/>
  <c r="F41" i="17"/>
  <c r="F187" i="17"/>
  <c r="F186" i="17"/>
  <c r="F185" i="17"/>
  <c r="F184" i="17"/>
  <c r="F183" i="17"/>
  <c r="F182" i="17"/>
  <c r="F181" i="17"/>
  <c r="F180" i="17"/>
  <c r="F179" i="17"/>
  <c r="F178" i="17"/>
  <c r="F177" i="17"/>
  <c r="F176" i="17"/>
  <c r="F175" i="17"/>
  <c r="F174" i="17"/>
  <c r="F173" i="17"/>
  <c r="F172" i="17"/>
  <c r="F171" i="17"/>
  <c r="F165" i="17"/>
  <c r="F164" i="17"/>
  <c r="F163" i="17"/>
  <c r="F162" i="17"/>
  <c r="F161" i="17"/>
  <c r="F160" i="17"/>
  <c r="F158" i="17"/>
  <c r="F157" i="17"/>
  <c r="F155" i="17"/>
  <c r="F154" i="17"/>
  <c r="F153" i="17"/>
  <c r="F152" i="17"/>
  <c r="F151" i="17"/>
  <c r="F150" i="17"/>
  <c r="F149" i="17"/>
  <c r="F148" i="17"/>
  <c r="F146" i="17"/>
  <c r="F145" i="17"/>
  <c r="F144" i="17"/>
  <c r="F143" i="17"/>
  <c r="F142" i="17"/>
  <c r="F141" i="17"/>
  <c r="F136" i="17"/>
  <c r="F132" i="17"/>
  <c r="F128" i="17"/>
  <c r="F127" i="17"/>
  <c r="F125" i="17"/>
  <c r="F123" i="17"/>
  <c r="F122" i="17"/>
  <c r="F121" i="17"/>
  <c r="F105" i="17"/>
  <c r="F104" i="17"/>
  <c r="F100" i="17"/>
  <c r="F99" i="17"/>
  <c r="F95" i="17"/>
  <c r="F94" i="17"/>
  <c r="F70" i="17"/>
  <c r="F68" i="17"/>
  <c r="F64" i="17"/>
  <c r="J55" i="17"/>
  <c r="H55" i="17"/>
  <c r="J54" i="17"/>
  <c r="H54" i="17"/>
  <c r="J53" i="17"/>
  <c r="H53" i="17"/>
  <c r="J52" i="17"/>
  <c r="H52" i="17"/>
  <c r="J51" i="17"/>
  <c r="H51" i="17"/>
  <c r="J50" i="17"/>
  <c r="H50" i="17"/>
  <c r="J49" i="17"/>
  <c r="H49" i="17"/>
  <c r="J48" i="17"/>
  <c r="H48" i="17"/>
  <c r="J47" i="17"/>
  <c r="H47" i="17"/>
  <c r="J46" i="17"/>
  <c r="H46" i="17"/>
  <c r="J41" i="17"/>
  <c r="H41" i="17"/>
  <c r="J40" i="17"/>
  <c r="H40" i="17"/>
  <c r="J38" i="17"/>
  <c r="H38" i="17"/>
  <c r="J37" i="17"/>
  <c r="H37" i="17"/>
  <c r="J36" i="17"/>
  <c r="H36" i="17"/>
  <c r="J35" i="17"/>
  <c r="H35" i="17"/>
  <c r="J34" i="17"/>
  <c r="H34" i="17"/>
  <c r="J33" i="17"/>
  <c r="H33" i="17"/>
  <c r="J32" i="17"/>
  <c r="H32" i="17"/>
  <c r="J31" i="17"/>
  <c r="H31" i="17"/>
  <c r="J29" i="17"/>
  <c r="H29" i="17"/>
  <c r="J30" i="17"/>
  <c r="H30" i="17"/>
  <c r="J28" i="17"/>
  <c r="H28" i="17"/>
  <c r="J27" i="17"/>
  <c r="H27" i="17"/>
  <c r="J26" i="17"/>
  <c r="H26" i="17"/>
  <c r="J25" i="17"/>
  <c r="H25" i="17"/>
  <c r="J24" i="17"/>
  <c r="H24" i="17"/>
  <c r="J23" i="17"/>
  <c r="H23" i="17"/>
  <c r="J22" i="17"/>
  <c r="H22" i="17"/>
  <c r="J21" i="17"/>
  <c r="H21" i="17"/>
  <c r="J20" i="17"/>
  <c r="H20" i="17"/>
  <c r="J19" i="17"/>
  <c r="H19" i="17"/>
  <c r="J18" i="17"/>
  <c r="H18" i="17"/>
  <c r="J17" i="17"/>
  <c r="H17" i="17"/>
  <c r="C171" i="16"/>
  <c r="D171" i="16"/>
  <c r="C172" i="16"/>
  <c r="D172" i="16"/>
  <c r="C174" i="16"/>
  <c r="D174" i="16"/>
  <c r="D175" i="16"/>
  <c r="C176" i="16"/>
  <c r="D176" i="16"/>
  <c r="C177" i="16"/>
  <c r="D177" i="16"/>
  <c r="C178" i="16"/>
  <c r="D178" i="16"/>
  <c r="C179" i="16"/>
  <c r="D179" i="16"/>
  <c r="C180" i="16"/>
  <c r="D180" i="16"/>
  <c r="C181" i="16"/>
  <c r="D181" i="16"/>
  <c r="C182" i="16"/>
  <c r="D182" i="16"/>
  <c r="D183" i="16"/>
  <c r="C184" i="16"/>
  <c r="D184" i="16"/>
  <c r="C185" i="16"/>
  <c r="D185" i="16"/>
  <c r="C186" i="16"/>
  <c r="D186" i="16"/>
  <c r="C187" i="16"/>
  <c r="D187" i="16"/>
  <c r="D121" i="16"/>
  <c r="C122" i="16"/>
  <c r="D122" i="16"/>
  <c r="C123" i="16"/>
  <c r="D123" i="16"/>
  <c r="D125" i="16"/>
  <c r="C127" i="16"/>
  <c r="D127" i="16"/>
  <c r="C128" i="16"/>
  <c r="D128" i="16"/>
  <c r="C129" i="16"/>
  <c r="D129" i="16"/>
  <c r="C130" i="16"/>
  <c r="D130" i="16"/>
  <c r="D132" i="16"/>
  <c r="C134" i="16"/>
  <c r="C160" i="16" s="1"/>
  <c r="D134" i="16"/>
  <c r="C135" i="16"/>
  <c r="C161" i="16" s="1"/>
  <c r="D135" i="16"/>
  <c r="C136" i="16"/>
  <c r="C162" i="16" s="1"/>
  <c r="D136" i="16"/>
  <c r="B93" i="16"/>
  <c r="C93" i="16"/>
  <c r="D93" i="16"/>
  <c r="B94" i="16"/>
  <c r="D94" i="16"/>
  <c r="B95" i="16"/>
  <c r="C95" i="16"/>
  <c r="D95" i="16"/>
  <c r="B98" i="16"/>
  <c r="C98" i="16"/>
  <c r="D98" i="16"/>
  <c r="B99" i="16"/>
  <c r="D99" i="16"/>
  <c r="B100" i="16"/>
  <c r="C100" i="16"/>
  <c r="D100" i="16"/>
  <c r="B103" i="16"/>
  <c r="C103" i="16"/>
  <c r="D103" i="16"/>
  <c r="B104" i="16"/>
  <c r="D104" i="16"/>
  <c r="B105" i="16"/>
  <c r="C105" i="16"/>
  <c r="D105" i="16"/>
  <c r="B63" i="16"/>
  <c r="C63" i="16"/>
  <c r="D63" i="16"/>
  <c r="B64" i="16"/>
  <c r="C64" i="16"/>
  <c r="D64" i="16"/>
  <c r="B65" i="16"/>
  <c r="C65" i="16"/>
  <c r="D65" i="16"/>
  <c r="B66" i="16"/>
  <c r="C66" i="16"/>
  <c r="D66" i="16"/>
  <c r="B67" i="16"/>
  <c r="C67" i="16"/>
  <c r="D67" i="16"/>
  <c r="B68" i="16"/>
  <c r="C68" i="16"/>
  <c r="D68" i="16"/>
  <c r="B69" i="16"/>
  <c r="C69" i="16"/>
  <c r="D69" i="16"/>
  <c r="B70" i="16"/>
  <c r="C70" i="16"/>
  <c r="D70" i="16"/>
  <c r="B71" i="16"/>
  <c r="C71" i="16"/>
  <c r="D71" i="16"/>
  <c r="B46" i="16"/>
  <c r="C46" i="16"/>
  <c r="D46" i="16"/>
  <c r="F46" i="16"/>
  <c r="B47" i="16"/>
  <c r="C47" i="16"/>
  <c r="D47" i="16"/>
  <c r="F47" i="16"/>
  <c r="B48" i="16"/>
  <c r="C48" i="16"/>
  <c r="D48" i="16"/>
  <c r="F48" i="16"/>
  <c r="B49" i="16"/>
  <c r="C49" i="16"/>
  <c r="D49" i="16"/>
  <c r="F49" i="16"/>
  <c r="B50" i="16"/>
  <c r="C50" i="16"/>
  <c r="D50" i="16"/>
  <c r="F50" i="16"/>
  <c r="B51" i="16"/>
  <c r="C51" i="16"/>
  <c r="D51" i="16"/>
  <c r="F51" i="16"/>
  <c r="B52" i="16"/>
  <c r="C52" i="16"/>
  <c r="D52" i="16"/>
  <c r="F52" i="16"/>
  <c r="B53" i="16"/>
  <c r="C53" i="16"/>
  <c r="D53" i="16"/>
  <c r="F53" i="16"/>
  <c r="B54" i="16"/>
  <c r="C54" i="16"/>
  <c r="D54" i="16"/>
  <c r="F54" i="16"/>
  <c r="B55" i="16"/>
  <c r="C55" i="16"/>
  <c r="D55" i="16"/>
  <c r="F55" i="16"/>
  <c r="H46" i="16"/>
  <c r="J46" i="16"/>
  <c r="H47" i="16"/>
  <c r="J47" i="16"/>
  <c r="H48" i="16"/>
  <c r="J48" i="16"/>
  <c r="H49" i="16"/>
  <c r="J49" i="16"/>
  <c r="H50" i="16"/>
  <c r="J50" i="16"/>
  <c r="B17" i="16"/>
  <c r="B74" i="16" s="1"/>
  <c r="C17" i="16"/>
  <c r="D17" i="16"/>
  <c r="D74" i="16" s="1"/>
  <c r="F17" i="16"/>
  <c r="B18" i="16"/>
  <c r="B77" i="16" s="1"/>
  <c r="C18" i="16"/>
  <c r="C77" i="16" s="1"/>
  <c r="D18" i="16"/>
  <c r="D77" i="16" s="1"/>
  <c r="F18" i="16"/>
  <c r="B19" i="16"/>
  <c r="B78" i="16" s="1"/>
  <c r="C19" i="16"/>
  <c r="C78" i="16" s="1"/>
  <c r="D19" i="16"/>
  <c r="D78" i="16" s="1"/>
  <c r="F19" i="16"/>
  <c r="B20" i="16"/>
  <c r="B79" i="16" s="1"/>
  <c r="C20" i="16"/>
  <c r="C79" i="16" s="1"/>
  <c r="D20" i="16"/>
  <c r="D79" i="16" s="1"/>
  <c r="F20" i="16"/>
  <c r="B21" i="16"/>
  <c r="B83" i="16" s="1"/>
  <c r="C21" i="16"/>
  <c r="C83" i="16" s="1"/>
  <c r="D21" i="16"/>
  <c r="D83" i="16" s="1"/>
  <c r="F21" i="16"/>
  <c r="B22" i="16"/>
  <c r="B75" i="16" s="1"/>
  <c r="C22" i="16"/>
  <c r="C75" i="16" s="1"/>
  <c r="D22" i="16"/>
  <c r="D75" i="16" s="1"/>
  <c r="F22" i="16"/>
  <c r="B23" i="16"/>
  <c r="B76" i="16" s="1"/>
  <c r="C23" i="16"/>
  <c r="C76" i="16" s="1"/>
  <c r="D23" i="16"/>
  <c r="D76" i="16" s="1"/>
  <c r="F23" i="16"/>
  <c r="B24" i="16"/>
  <c r="B85" i="16" s="1"/>
  <c r="C24" i="16"/>
  <c r="C85" i="16" s="1"/>
  <c r="D24" i="16"/>
  <c r="D85" i="16" s="1"/>
  <c r="F24" i="16"/>
  <c r="B25" i="16"/>
  <c r="B86" i="16" s="1"/>
  <c r="C25" i="16"/>
  <c r="C86" i="16" s="1"/>
  <c r="D25" i="16"/>
  <c r="D86" i="16" s="1"/>
  <c r="F25" i="16"/>
  <c r="B26" i="16"/>
  <c r="B84" i="16" s="1"/>
  <c r="C26" i="16"/>
  <c r="C84" i="16" s="1"/>
  <c r="D26" i="16"/>
  <c r="D84" i="16" s="1"/>
  <c r="F26" i="16"/>
  <c r="B27" i="16"/>
  <c r="B80" i="16" s="1"/>
  <c r="C27" i="16"/>
  <c r="C80" i="16" s="1"/>
  <c r="D27" i="16"/>
  <c r="D80" i="16" s="1"/>
  <c r="F27" i="16"/>
  <c r="B28" i="16"/>
  <c r="B81" i="16" s="1"/>
  <c r="C28" i="16"/>
  <c r="C81" i="16" s="1"/>
  <c r="D28" i="16"/>
  <c r="D81" i="16" s="1"/>
  <c r="F28" i="16"/>
  <c r="B30" i="16"/>
  <c r="B87" i="16" s="1"/>
  <c r="C87" i="16"/>
  <c r="E87" i="16" s="1"/>
  <c r="D87" i="16"/>
  <c r="F30" i="16"/>
  <c r="B29" i="16"/>
  <c r="B82" i="16" s="1"/>
  <c r="C29" i="16"/>
  <c r="C82" i="16" s="1"/>
  <c r="D29" i="16"/>
  <c r="D82" i="16" s="1"/>
  <c r="F29" i="16"/>
  <c r="B31" i="16"/>
  <c r="C31" i="16"/>
  <c r="D31" i="16"/>
  <c r="F31" i="16"/>
  <c r="B32" i="16"/>
  <c r="C32" i="16"/>
  <c r="D32" i="16"/>
  <c r="F32" i="16"/>
  <c r="B33" i="16"/>
  <c r="C33" i="16"/>
  <c r="D33" i="16"/>
  <c r="F33" i="16"/>
  <c r="B34" i="16"/>
  <c r="C34" i="16"/>
  <c r="D34" i="16"/>
  <c r="F34" i="16"/>
  <c r="B35" i="16"/>
  <c r="C35" i="16"/>
  <c r="D35" i="16"/>
  <c r="F35" i="16"/>
  <c r="B36" i="16"/>
  <c r="C36" i="16"/>
  <c r="D36" i="16"/>
  <c r="F36" i="16"/>
  <c r="B37" i="16"/>
  <c r="C37" i="16"/>
  <c r="D37" i="16"/>
  <c r="F37" i="16"/>
  <c r="B38" i="16"/>
  <c r="C38" i="16"/>
  <c r="D38" i="16"/>
  <c r="F38" i="16"/>
  <c r="B39" i="16"/>
  <c r="C39" i="16"/>
  <c r="D39" i="16"/>
  <c r="F39" i="16"/>
  <c r="B40" i="16"/>
  <c r="C40" i="16"/>
  <c r="D40" i="16"/>
  <c r="F40" i="16"/>
  <c r="B41" i="16"/>
  <c r="C41" i="16"/>
  <c r="D41" i="16"/>
  <c r="F41" i="16"/>
  <c r="C8" i="16"/>
  <c r="C7" i="16"/>
  <c r="F187" i="16"/>
  <c r="F186" i="16"/>
  <c r="F185" i="16"/>
  <c r="F184" i="16"/>
  <c r="F183" i="16"/>
  <c r="F182" i="16"/>
  <c r="F181" i="16"/>
  <c r="F180" i="16"/>
  <c r="F179" i="16"/>
  <c r="F178" i="16"/>
  <c r="F177" i="16"/>
  <c r="F176" i="16"/>
  <c r="F175" i="16"/>
  <c r="F174" i="16"/>
  <c r="F173" i="16"/>
  <c r="F172" i="16"/>
  <c r="F171" i="16"/>
  <c r="F165" i="16"/>
  <c r="F164" i="16"/>
  <c r="F163" i="16"/>
  <c r="F162" i="16"/>
  <c r="F161" i="16"/>
  <c r="F160" i="16"/>
  <c r="F158" i="16"/>
  <c r="F157" i="16"/>
  <c r="F155" i="16"/>
  <c r="F154" i="16"/>
  <c r="F153" i="16"/>
  <c r="F152" i="16"/>
  <c r="F151" i="16"/>
  <c r="F150" i="16"/>
  <c r="F149" i="16"/>
  <c r="F148" i="16"/>
  <c r="F146" i="16"/>
  <c r="F145" i="16"/>
  <c r="F144" i="16"/>
  <c r="F143" i="16"/>
  <c r="F142" i="16"/>
  <c r="F141" i="16"/>
  <c r="F136" i="16"/>
  <c r="F132" i="16"/>
  <c r="F128" i="16"/>
  <c r="F127" i="16"/>
  <c r="F125" i="16"/>
  <c r="F123" i="16"/>
  <c r="F122" i="16"/>
  <c r="F121" i="16"/>
  <c r="F105" i="16"/>
  <c r="F104" i="16"/>
  <c r="F100" i="16"/>
  <c r="F99" i="16"/>
  <c r="F95" i="16"/>
  <c r="F94" i="16"/>
  <c r="F70" i="16"/>
  <c r="F68" i="16"/>
  <c r="F64" i="16"/>
  <c r="J55" i="16"/>
  <c r="H55" i="16"/>
  <c r="J54" i="16"/>
  <c r="H54" i="16"/>
  <c r="J53" i="16"/>
  <c r="H53" i="16"/>
  <c r="J52" i="16"/>
  <c r="H52" i="16"/>
  <c r="J51" i="16"/>
  <c r="H51" i="16"/>
  <c r="J41" i="16"/>
  <c r="H41" i="16"/>
  <c r="J40" i="16"/>
  <c r="H40" i="16"/>
  <c r="J38" i="16"/>
  <c r="H38" i="16"/>
  <c r="J37" i="16"/>
  <c r="H37" i="16"/>
  <c r="J36" i="16"/>
  <c r="H36" i="16"/>
  <c r="J35" i="16"/>
  <c r="H35" i="16"/>
  <c r="J34" i="16"/>
  <c r="H34" i="16"/>
  <c r="J33" i="16"/>
  <c r="H33" i="16"/>
  <c r="J32" i="16"/>
  <c r="H32" i="16"/>
  <c r="J31" i="16"/>
  <c r="H31" i="16"/>
  <c r="J29" i="16"/>
  <c r="H29" i="16"/>
  <c r="J30" i="16"/>
  <c r="H30" i="16"/>
  <c r="J28" i="16"/>
  <c r="H28" i="16"/>
  <c r="J27" i="16"/>
  <c r="H27" i="16"/>
  <c r="J26" i="16"/>
  <c r="H26" i="16"/>
  <c r="J25" i="16"/>
  <c r="H25" i="16"/>
  <c r="J24" i="16"/>
  <c r="H24" i="16"/>
  <c r="J23" i="16"/>
  <c r="H23" i="16"/>
  <c r="J22" i="16"/>
  <c r="H22" i="16"/>
  <c r="J21" i="16"/>
  <c r="H21" i="16"/>
  <c r="J20" i="16"/>
  <c r="H20" i="16"/>
  <c r="J19" i="16"/>
  <c r="H19" i="16"/>
  <c r="J18" i="16"/>
  <c r="H18" i="16"/>
  <c r="J17" i="16"/>
  <c r="H17" i="16"/>
  <c r="C64" i="5"/>
  <c r="D64" i="5"/>
  <c r="C65" i="5"/>
  <c r="D65" i="5"/>
  <c r="B22" i="5"/>
  <c r="D22" i="5"/>
  <c r="B23" i="5"/>
  <c r="D23" i="5"/>
  <c r="B24" i="5"/>
  <c r="D24" i="5"/>
  <c r="B25" i="5"/>
  <c r="D25" i="5"/>
  <c r="B26" i="5"/>
  <c r="D26" i="5"/>
  <c r="B27" i="5"/>
  <c r="D27" i="5"/>
  <c r="B28" i="5"/>
  <c r="D28" i="5"/>
  <c r="B29" i="5"/>
  <c r="D29" i="5"/>
  <c r="B30" i="5"/>
  <c r="C30" i="5"/>
  <c r="D30" i="5"/>
  <c r="B31" i="5"/>
  <c r="C31" i="5"/>
  <c r="D31" i="5"/>
  <c r="B32" i="5"/>
  <c r="C32" i="5"/>
  <c r="D32" i="5"/>
  <c r="B33" i="5"/>
  <c r="C33" i="5"/>
  <c r="D33" i="5"/>
  <c r="B34" i="5"/>
  <c r="C34" i="5"/>
  <c r="D34" i="5"/>
  <c r="B35" i="5"/>
  <c r="C35" i="5"/>
  <c r="D35" i="5"/>
  <c r="B36" i="5"/>
  <c r="C36" i="5"/>
  <c r="D36" i="5"/>
  <c r="B37" i="5"/>
  <c r="C37" i="5"/>
  <c r="D37" i="5"/>
  <c r="B38" i="5"/>
  <c r="C38" i="5"/>
  <c r="D38" i="5"/>
  <c r="B39" i="5"/>
  <c r="C39" i="5"/>
  <c r="D39" i="5"/>
  <c r="B40" i="5"/>
  <c r="C40" i="5"/>
  <c r="D40" i="5"/>
  <c r="B41" i="5"/>
  <c r="B42" i="5"/>
  <c r="C42" i="5"/>
  <c r="D42" i="5"/>
  <c r="B43" i="5"/>
  <c r="C43" i="5"/>
  <c r="D43" i="5"/>
  <c r="B44" i="5"/>
  <c r="C44" i="5"/>
  <c r="D44" i="5"/>
  <c r="B45" i="5"/>
  <c r="C45" i="5"/>
  <c r="D45" i="5"/>
  <c r="C46" i="5" l="1"/>
  <c r="C74" i="20"/>
  <c r="C42" i="20"/>
  <c r="C56" i="20"/>
  <c r="C74" i="19"/>
  <c r="E74" i="19" s="1"/>
  <c r="C42" i="19"/>
  <c r="C56" i="19"/>
  <c r="E77" i="18"/>
  <c r="C74" i="17"/>
  <c r="C42" i="17"/>
  <c r="C56" i="17"/>
  <c r="C42" i="16"/>
  <c r="C56" i="16"/>
  <c r="C150" i="18"/>
  <c r="C151" i="16"/>
  <c r="C158" i="20"/>
  <c r="C149" i="20"/>
  <c r="C156" i="20" s="1"/>
  <c r="C150" i="19"/>
  <c r="C157" i="19" s="1"/>
  <c r="C159" i="19"/>
  <c r="C151" i="17"/>
  <c r="E74" i="18"/>
  <c r="C142" i="16"/>
  <c r="C149" i="16" s="1"/>
  <c r="E84" i="20"/>
  <c r="E90" i="20"/>
  <c r="E74" i="20"/>
  <c r="E77" i="20"/>
  <c r="E85" i="16"/>
  <c r="E85" i="19"/>
  <c r="E91" i="19"/>
  <c r="E77" i="19"/>
  <c r="E85" i="17"/>
  <c r="E77" i="17"/>
  <c r="E83" i="17"/>
  <c r="E74" i="17"/>
  <c r="E77" i="16"/>
  <c r="E83" i="16"/>
  <c r="C74" i="16"/>
  <c r="E74" i="16" s="1"/>
  <c r="C68" i="21"/>
  <c r="C69" i="21"/>
  <c r="B47" i="21"/>
  <c r="D134" i="21"/>
  <c r="F199" i="21"/>
  <c r="D131" i="21"/>
  <c r="F196" i="21"/>
  <c r="D130" i="21"/>
  <c r="F195" i="21"/>
  <c r="D129" i="21"/>
  <c r="F194" i="21"/>
  <c r="C142" i="17"/>
  <c r="C149" i="17" s="1"/>
  <c r="E195" i="21"/>
  <c r="E151" i="21"/>
  <c r="D151" i="21"/>
  <c r="E11" i="14" s="1"/>
  <c r="C124" i="16" s="1"/>
  <c r="G151" i="21"/>
  <c r="E206" i="21" s="1"/>
  <c r="D152" i="21"/>
  <c r="G11" i="14" s="1"/>
  <c r="G15" i="14" s="1"/>
  <c r="C124" i="17" s="1"/>
  <c r="G152" i="21"/>
  <c r="E207" i="21" s="1"/>
  <c r="C152" i="21"/>
  <c r="E152" i="21" s="1"/>
  <c r="E185" i="21" s="1"/>
  <c r="D154" i="21"/>
  <c r="K11" i="14" s="1"/>
  <c r="K15" i="14" s="1"/>
  <c r="C132" i="19" s="1"/>
  <c r="G154" i="21"/>
  <c r="E209" i="21" s="1"/>
  <c r="C154" i="21"/>
  <c r="E154" i="21" s="1"/>
  <c r="E187" i="21" s="1"/>
  <c r="G155" i="21"/>
  <c r="E210" i="21" s="1"/>
  <c r="D155" i="21"/>
  <c r="M11" i="14" s="1"/>
  <c r="M15" i="14" s="1"/>
  <c r="C131" i="20" s="1"/>
  <c r="C155" i="21"/>
  <c r="E155" i="21" s="1"/>
  <c r="E188" i="21" s="1"/>
  <c r="E197" i="21"/>
  <c r="G153" i="21"/>
  <c r="E208" i="21" s="1"/>
  <c r="D153" i="21"/>
  <c r="I11" i="14" s="1"/>
  <c r="I15" i="14" s="1"/>
  <c r="C123" i="18" s="1"/>
  <c r="C153" i="21"/>
  <c r="E153" i="21" s="1"/>
  <c r="E186" i="21" s="1"/>
  <c r="D47" i="21"/>
  <c r="E69" i="21" s="1"/>
  <c r="F47" i="21"/>
  <c r="E47" i="21"/>
  <c r="E44" i="21"/>
  <c r="F44" i="21"/>
  <c r="E46" i="21"/>
  <c r="F46" i="21"/>
  <c r="D44" i="21"/>
  <c r="E66" i="21" s="1"/>
  <c r="C46" i="21"/>
  <c r="E64" i="21"/>
  <c r="D67" i="21"/>
  <c r="D65" i="21"/>
  <c r="E196" i="21"/>
  <c r="E198" i="21"/>
  <c r="E199" i="21"/>
  <c r="D43" i="21"/>
  <c r="C44" i="21"/>
  <c r="C42" i="21"/>
  <c r="C47" i="21"/>
  <c r="E184" i="21"/>
  <c r="D46" i="21"/>
  <c r="D45" i="21"/>
  <c r="C141" i="18"/>
  <c r="C148" i="18" s="1"/>
  <c r="AG48" i="2"/>
  <c r="I48" i="2"/>
  <c r="O48" i="2"/>
  <c r="AA48" i="2"/>
  <c r="C155" i="16" l="1"/>
  <c r="F68" i="21"/>
  <c r="B220" i="21"/>
  <c r="F66" i="21"/>
  <c r="B218" i="21"/>
  <c r="F69" i="21"/>
  <c r="B221" i="21"/>
  <c r="D79" i="21"/>
  <c r="G69" i="21"/>
  <c r="H79" i="21" s="1"/>
  <c r="B210" i="21"/>
  <c r="D74" i="21"/>
  <c r="G68" i="21"/>
  <c r="H78" i="21" s="1"/>
  <c r="B209" i="21"/>
  <c r="G66" i="21"/>
  <c r="H76" i="21" s="1"/>
  <c r="B207" i="21"/>
  <c r="C207" i="21" s="1"/>
  <c r="D76" i="21"/>
  <c r="B199" i="21"/>
  <c r="D199" i="21" s="1"/>
  <c r="C162" i="20"/>
  <c r="C155" i="17"/>
  <c r="B77" i="21"/>
  <c r="B186" i="21"/>
  <c r="D186" i="21" s="1"/>
  <c r="B75" i="21"/>
  <c r="B184" i="21"/>
  <c r="D184" i="21" s="1"/>
  <c r="B196" i="21"/>
  <c r="D194" i="21"/>
  <c r="D68" i="21"/>
  <c r="D210" i="21"/>
  <c r="F79" i="21"/>
  <c r="D64" i="21"/>
  <c r="F76" i="21"/>
  <c r="F77" i="21"/>
  <c r="D66" i="21"/>
  <c r="B197" i="21"/>
  <c r="E67" i="21"/>
  <c r="C206" i="21"/>
  <c r="F75" i="21"/>
  <c r="B198" i="21"/>
  <c r="E68" i="21"/>
  <c r="B195" i="21"/>
  <c r="E65" i="21"/>
  <c r="D69" i="21"/>
  <c r="F78" i="21"/>
  <c r="B205" i="21"/>
  <c r="F74" i="21"/>
  <c r="C58" i="20"/>
  <c r="C58" i="19"/>
  <c r="C58" i="16"/>
  <c r="C163" i="19"/>
  <c r="C154" i="18"/>
  <c r="AG76" i="2"/>
  <c r="C106" i="20" s="1"/>
  <c r="AG71" i="2"/>
  <c r="AG81" i="2"/>
  <c r="C111" i="20" s="1"/>
  <c r="C58" i="17"/>
  <c r="U81" i="2"/>
  <c r="U76" i="2"/>
  <c r="AA71" i="2"/>
  <c r="C102" i="19" s="1"/>
  <c r="AA81" i="2"/>
  <c r="C112" i="19" s="1"/>
  <c r="AA76" i="2"/>
  <c r="C107" i="19" s="1"/>
  <c r="O71" i="2"/>
  <c r="C94" i="17" s="1"/>
  <c r="O76" i="2"/>
  <c r="C99" i="17" s="1"/>
  <c r="O81" i="2"/>
  <c r="C104" i="17" s="1"/>
  <c r="I81" i="2"/>
  <c r="C104" i="16" s="1"/>
  <c r="I76" i="2"/>
  <c r="C99" i="16" s="1"/>
  <c r="I71" i="2"/>
  <c r="C94" i="16" s="1"/>
  <c r="D221" i="21" l="1"/>
  <c r="G221" i="21"/>
  <c r="D218" i="21"/>
  <c r="D220" i="21"/>
  <c r="G218" i="21"/>
  <c r="D75" i="21"/>
  <c r="G217" i="21"/>
  <c r="D78" i="21"/>
  <c r="C199" i="21"/>
  <c r="H199" i="21"/>
  <c r="I199" i="21" s="1"/>
  <c r="C197" i="21"/>
  <c r="H197" i="21" s="1"/>
  <c r="I197" i="21" s="1"/>
  <c r="C195" i="21"/>
  <c r="D198" i="21"/>
  <c r="D77" i="21"/>
  <c r="G219" i="21"/>
  <c r="C186" i="21"/>
  <c r="G186" i="21" s="1"/>
  <c r="H186" i="21" s="1"/>
  <c r="B74" i="21"/>
  <c r="B183" i="21"/>
  <c r="D183" i="21" s="1"/>
  <c r="B76" i="21"/>
  <c r="B185" i="21"/>
  <c r="D185" i="21" s="1"/>
  <c r="B78" i="21"/>
  <c r="B187" i="21"/>
  <c r="C184" i="21"/>
  <c r="G184" i="21" s="1"/>
  <c r="H184" i="21" s="1"/>
  <c r="B79" i="21"/>
  <c r="B188" i="21"/>
  <c r="D188" i="21" s="1"/>
  <c r="I194" i="21"/>
  <c r="C196" i="21"/>
  <c r="D196" i="21"/>
  <c r="D207" i="21"/>
  <c r="D206" i="21"/>
  <c r="D208" i="21"/>
  <c r="D195" i="21"/>
  <c r="D205" i="21"/>
  <c r="C198" i="21"/>
  <c r="C210" i="21"/>
  <c r="C209" i="21"/>
  <c r="D209" i="21"/>
  <c r="D197" i="21"/>
  <c r="C208" i="21"/>
  <c r="C205" i="21"/>
  <c r="G205" i="21" s="1"/>
  <c r="H205" i="21" s="1"/>
  <c r="C93" i="18"/>
  <c r="C98" i="18"/>
  <c r="C103" i="18"/>
  <c r="H198" i="21" l="1"/>
  <c r="I198" i="21" s="1"/>
  <c r="H196" i="21"/>
  <c r="I196" i="21" s="1"/>
  <c r="C188" i="21"/>
  <c r="G220" i="21"/>
  <c r="I195" i="21"/>
  <c r="E177" i="21"/>
  <c r="M10" i="14" s="1"/>
  <c r="C132" i="20" s="1"/>
  <c r="D200" i="20" s="1"/>
  <c r="E174" i="21"/>
  <c r="G10" i="14" s="1"/>
  <c r="C125" i="17" s="1"/>
  <c r="D193" i="17" s="1"/>
  <c r="C10" i="14"/>
  <c r="D173" i="21"/>
  <c r="E7" i="14" s="1"/>
  <c r="C121" i="16" s="1"/>
  <c r="C183" i="21"/>
  <c r="G183" i="21"/>
  <c r="H183" i="21" s="1"/>
  <c r="D175" i="21"/>
  <c r="I7" i="14" s="1"/>
  <c r="C120" i="18" s="1"/>
  <c r="C185" i="21"/>
  <c r="G185" i="21" s="1"/>
  <c r="H185" i="21" s="1"/>
  <c r="C187" i="21"/>
  <c r="D187" i="21"/>
  <c r="G207" i="21"/>
  <c r="G188" i="21"/>
  <c r="H188" i="21" s="1"/>
  <c r="G208" i="21"/>
  <c r="G206" i="21"/>
  <c r="G210" i="21"/>
  <c r="F172" i="21"/>
  <c r="C23" i="14" s="1"/>
  <c r="E175" i="21"/>
  <c r="I10" i="14" s="1"/>
  <c r="C124" i="18" s="1"/>
  <c r="G209" i="21"/>
  <c r="E176" i="21"/>
  <c r="K10" i="14" s="1"/>
  <c r="C133" i="19" s="1"/>
  <c r="D201" i="19" l="1"/>
  <c r="C162" i="19"/>
  <c r="C147" i="18"/>
  <c r="D190" i="18" s="1"/>
  <c r="E190" i="18" s="1"/>
  <c r="C140" i="18"/>
  <c r="D191" i="18" s="1"/>
  <c r="E191" i="18" s="1"/>
  <c r="C149" i="18"/>
  <c r="C141" i="16"/>
  <c r="D192" i="16" s="1"/>
  <c r="E192" i="16" s="1"/>
  <c r="C150" i="16"/>
  <c r="C148" i="16"/>
  <c r="C161" i="20"/>
  <c r="C163" i="20"/>
  <c r="E200" i="20" s="1"/>
  <c r="C164" i="19"/>
  <c r="E201" i="19" s="1"/>
  <c r="C153" i="18"/>
  <c r="C155" i="18"/>
  <c r="E192" i="18" s="1"/>
  <c r="C154" i="17"/>
  <c r="C156" i="17"/>
  <c r="E193" i="17" s="1"/>
  <c r="F176" i="21"/>
  <c r="K23" i="14" s="1"/>
  <c r="C140" i="19" s="1"/>
  <c r="C166" i="19" s="1"/>
  <c r="H209" i="21"/>
  <c r="F174" i="21"/>
  <c r="G23" i="14" s="1"/>
  <c r="C132" i="17" s="1"/>
  <c r="H207" i="21"/>
  <c r="F177" i="21"/>
  <c r="M23" i="14" s="1"/>
  <c r="C139" i="20" s="1"/>
  <c r="H210" i="21"/>
  <c r="E173" i="21"/>
  <c r="E10" i="14" s="1"/>
  <c r="C125" i="16" s="1"/>
  <c r="F173" i="21"/>
  <c r="E23" i="14" s="1"/>
  <c r="C132" i="16" s="1"/>
  <c r="H206" i="21"/>
  <c r="F175" i="21"/>
  <c r="I23" i="14" s="1"/>
  <c r="C131" i="18" s="1"/>
  <c r="H208" i="21"/>
  <c r="D172" i="21"/>
  <c r="C7" i="14" s="1"/>
  <c r="G187" i="21"/>
  <c r="H187" i="21" s="1"/>
  <c r="D174" i="21"/>
  <c r="G7" i="14" s="1"/>
  <c r="C121" i="17" s="1"/>
  <c r="D177" i="21"/>
  <c r="M7" i="14" s="1"/>
  <c r="C128" i="20" s="1"/>
  <c r="C148" i="20" l="1"/>
  <c r="D199" i="20" s="1"/>
  <c r="E199" i="20" s="1"/>
  <c r="C157" i="20"/>
  <c r="C155" i="20"/>
  <c r="C150" i="17"/>
  <c r="C148" i="17"/>
  <c r="D191" i="17" s="1"/>
  <c r="E191" i="17" s="1"/>
  <c r="D193" i="16"/>
  <c r="C156" i="16"/>
  <c r="E193" i="16" s="1"/>
  <c r="D191" i="16"/>
  <c r="E191" i="16" s="1"/>
  <c r="C165" i="20"/>
  <c r="D201" i="20"/>
  <c r="E201" i="20" s="1"/>
  <c r="D202" i="19"/>
  <c r="E202" i="19" s="1"/>
  <c r="C157" i="18"/>
  <c r="D193" i="18"/>
  <c r="E193" i="18" s="1"/>
  <c r="E194" i="18" s="1"/>
  <c r="C158" i="17"/>
  <c r="D194" i="17"/>
  <c r="E194" i="17" s="1"/>
  <c r="D194" i="16"/>
  <c r="E194" i="16" s="1"/>
  <c r="C154" i="16"/>
  <c r="D176" i="21"/>
  <c r="K7" i="14" s="1"/>
  <c r="C129" i="19" s="1"/>
  <c r="C141" i="17"/>
  <c r="D192" i="17" s="1"/>
  <c r="E192" i="17" s="1"/>
  <c r="E48" i="20"/>
  <c r="E53" i="19"/>
  <c r="E53" i="16"/>
  <c r="E55" i="20"/>
  <c r="E47" i="20"/>
  <c r="E52" i="19"/>
  <c r="E52" i="16"/>
  <c r="E54" i="19"/>
  <c r="E46" i="16"/>
  <c r="E54" i="20"/>
  <c r="E46" i="20"/>
  <c r="E51" i="19"/>
  <c r="E51" i="16"/>
  <c r="E46" i="19"/>
  <c r="E53" i="20"/>
  <c r="E50" i="19"/>
  <c r="E50" i="16"/>
  <c r="E52" i="20"/>
  <c r="E49" i="19"/>
  <c r="E49" i="16"/>
  <c r="E51" i="20"/>
  <c r="E48" i="19"/>
  <c r="E48" i="16"/>
  <c r="E54" i="16"/>
  <c r="E50" i="20"/>
  <c r="E55" i="19"/>
  <c r="E47" i="19"/>
  <c r="E55" i="16"/>
  <c r="E47" i="16"/>
  <c r="E49" i="20"/>
  <c r="E36" i="20"/>
  <c r="E29" i="20"/>
  <c r="E21" i="20"/>
  <c r="E34" i="19"/>
  <c r="E26" i="19"/>
  <c r="E18" i="19"/>
  <c r="E34" i="16"/>
  <c r="E26" i="16"/>
  <c r="E18" i="16"/>
  <c r="E35" i="19"/>
  <c r="E19" i="19"/>
  <c r="E27" i="16"/>
  <c r="E37" i="20"/>
  <c r="E28" i="20"/>
  <c r="E20" i="20"/>
  <c r="E41" i="19"/>
  <c r="E33" i="19"/>
  <c r="E25" i="19"/>
  <c r="E17" i="19"/>
  <c r="E41" i="16"/>
  <c r="E33" i="16"/>
  <c r="E25" i="16"/>
  <c r="E17" i="16"/>
  <c r="E35" i="20"/>
  <c r="E27" i="20"/>
  <c r="E19" i="20"/>
  <c r="E40" i="19"/>
  <c r="E32" i="19"/>
  <c r="E24" i="19"/>
  <c r="E40" i="16"/>
  <c r="E32" i="16"/>
  <c r="E24" i="16"/>
  <c r="E34" i="20"/>
  <c r="E26" i="20"/>
  <c r="E18" i="20"/>
  <c r="E39" i="19"/>
  <c r="E31" i="19"/>
  <c r="E23" i="19"/>
  <c r="E39" i="16"/>
  <c r="E31" i="16"/>
  <c r="E23" i="16"/>
  <c r="E38" i="20"/>
  <c r="E41" i="20"/>
  <c r="E33" i="20"/>
  <c r="E25" i="20"/>
  <c r="E17" i="20"/>
  <c r="E37" i="19"/>
  <c r="E30" i="19"/>
  <c r="E22" i="19"/>
  <c r="E38" i="16"/>
  <c r="E29" i="16"/>
  <c r="E22" i="16"/>
  <c r="E22" i="20"/>
  <c r="E19" i="16"/>
  <c r="E40" i="20"/>
  <c r="E32" i="20"/>
  <c r="E24" i="20"/>
  <c r="E38" i="19"/>
  <c r="E29" i="19"/>
  <c r="E21" i="19"/>
  <c r="E37" i="16"/>
  <c r="E30" i="16"/>
  <c r="E21" i="16"/>
  <c r="E30" i="20"/>
  <c r="E27" i="19"/>
  <c r="E39" i="20"/>
  <c r="E31" i="20"/>
  <c r="E23" i="20"/>
  <c r="E36" i="19"/>
  <c r="E28" i="19"/>
  <c r="E20" i="19"/>
  <c r="E36" i="16"/>
  <c r="E28" i="16"/>
  <c r="E20" i="16"/>
  <c r="E35" i="16"/>
  <c r="E39" i="2"/>
  <c r="E40" i="2"/>
  <c r="E41" i="2"/>
  <c r="E43" i="2"/>
  <c r="E42" i="2"/>
  <c r="E44" i="2"/>
  <c r="E45" i="2"/>
  <c r="E29" i="2"/>
  <c r="E31" i="2"/>
  <c r="E30" i="2"/>
  <c r="E37" i="2"/>
  <c r="E36" i="2"/>
  <c r="E38" i="2"/>
  <c r="E7" i="2"/>
  <c r="C48" i="2"/>
  <c r="E195" i="16" l="1"/>
  <c r="F193" i="16" s="1"/>
  <c r="C149" i="19"/>
  <c r="D200" i="19" s="1"/>
  <c r="E200" i="19" s="1"/>
  <c r="C158" i="19"/>
  <c r="C156" i="19"/>
  <c r="D199" i="19" s="1"/>
  <c r="E199" i="19" s="1"/>
  <c r="E195" i="17"/>
  <c r="F191" i="17" s="1"/>
  <c r="D198" i="20"/>
  <c r="E198" i="20" s="1"/>
  <c r="E202" i="20" s="1"/>
  <c r="F198" i="20" s="1"/>
  <c r="F191" i="18"/>
  <c r="F190" i="18"/>
  <c r="E42" i="16"/>
  <c r="F193" i="18"/>
  <c r="F192" i="18"/>
  <c r="E56" i="20"/>
  <c r="E42" i="20"/>
  <c r="C81" i="2"/>
  <c r="C76" i="2"/>
  <c r="C71" i="2"/>
  <c r="E19" i="17"/>
  <c r="E39" i="17"/>
  <c r="E34" i="17"/>
  <c r="E49" i="17"/>
  <c r="E50" i="17"/>
  <c r="E56" i="16"/>
  <c r="E29" i="17"/>
  <c r="E21" i="17"/>
  <c r="E56" i="19"/>
  <c r="E38" i="17"/>
  <c r="E24" i="17"/>
  <c r="E42" i="19"/>
  <c r="E22" i="17"/>
  <c r="E30" i="17"/>
  <c r="E48" i="17"/>
  <c r="E47" i="17"/>
  <c r="E37" i="17"/>
  <c r="E53" i="17"/>
  <c r="E53" i="18"/>
  <c r="E46" i="17"/>
  <c r="E55" i="17"/>
  <c r="E55" i="18"/>
  <c r="E32" i="17"/>
  <c r="E17" i="17"/>
  <c r="E25" i="17"/>
  <c r="E20" i="17"/>
  <c r="E52" i="17"/>
  <c r="E54" i="17"/>
  <c r="E54" i="18"/>
  <c r="E40" i="17"/>
  <c r="E23" i="17"/>
  <c r="E33" i="17"/>
  <c r="E18" i="17"/>
  <c r="E27" i="17"/>
  <c r="E28" i="17"/>
  <c r="E51" i="17"/>
  <c r="E31" i="17"/>
  <c r="E41" i="17"/>
  <c r="E26" i="17"/>
  <c r="E35" i="17"/>
  <c r="E36" i="17"/>
  <c r="W32" i="2"/>
  <c r="K32" i="2"/>
  <c r="AC32" i="2"/>
  <c r="Q32" i="2"/>
  <c r="AI32" i="2"/>
  <c r="E46" i="2"/>
  <c r="E32" i="2"/>
  <c r="F192" i="16" l="1"/>
  <c r="F191" i="16"/>
  <c r="F194" i="16"/>
  <c r="F192" i="17"/>
  <c r="F194" i="17"/>
  <c r="F193" i="17"/>
  <c r="F199" i="20"/>
  <c r="F200" i="20"/>
  <c r="F201" i="20"/>
  <c r="E203" i="19"/>
  <c r="F199" i="19" s="1"/>
  <c r="C195" i="18"/>
  <c r="I48" i="14" s="1"/>
  <c r="C182" i="18" s="1"/>
  <c r="F194" i="18"/>
  <c r="E56" i="18"/>
  <c r="E42" i="17"/>
  <c r="E56" i="17"/>
  <c r="E42" i="18"/>
  <c r="D133" i="21"/>
  <c r="C196" i="16" l="1"/>
  <c r="E48" i="14" s="1"/>
  <c r="C183" i="16" s="1"/>
  <c r="F195" i="16"/>
  <c r="C196" i="17"/>
  <c r="G48" i="14" s="1"/>
  <c r="C183" i="17" s="1"/>
  <c r="F195" i="17"/>
  <c r="C203" i="20"/>
  <c r="M48" i="14" s="1"/>
  <c r="C190" i="20" s="1"/>
  <c r="C48" i="14"/>
  <c r="F202" i="20"/>
  <c r="F201" i="19"/>
  <c r="F202" i="19"/>
  <c r="F200" i="19"/>
  <c r="C204" i="19" l="1"/>
  <c r="K48" i="14" s="1"/>
  <c r="C191" i="19" s="1"/>
  <c r="F20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Kathrin Graulich</author>
  </authors>
  <commentList>
    <comment ref="H32" authorId="0" shapeId="0" xr:uid="{42CB44C9-72AE-4F67-96E9-6E92937D2222}">
      <text>
        <r>
          <rPr>
            <b/>
            <sz val="9"/>
            <color indexed="81"/>
            <rFont val="Segoe UI"/>
            <family val="2"/>
          </rPr>
          <t>Kathrin Graulich:</t>
        </r>
        <r>
          <rPr>
            <sz val="9"/>
            <color indexed="81"/>
            <rFont val="Segoe UI"/>
            <family val="2"/>
          </rPr>
          <t xml:space="preserve">
100 dishes = 2 cycles at 50 dishes (2 racks à 25 dishes)</t>
        </r>
      </text>
    </comment>
    <comment ref="J32" authorId="0" shapeId="0" xr:uid="{7F146F9C-87D5-49AC-8BE3-69418A4B7078}">
      <text>
        <r>
          <rPr>
            <b/>
            <sz val="9"/>
            <color indexed="81"/>
            <rFont val="Segoe UI"/>
            <family val="2"/>
          </rPr>
          <t>Kathrin Graulich:</t>
        </r>
        <r>
          <rPr>
            <sz val="9"/>
            <color indexed="81"/>
            <rFont val="Segoe UI"/>
            <family val="2"/>
          </rPr>
          <t xml:space="preserve">
100 dishes = 2 cycles at 50 dishes (2 racks à 25 dishes)</t>
        </r>
      </text>
    </comment>
    <comment ref="K151" authorId="0" shapeId="0" xr:uid="{F5CE6E7B-8D18-4B31-A08B-62F7AF7175C1}">
      <text>
        <r>
          <rPr>
            <b/>
            <sz val="9"/>
            <color indexed="81"/>
            <rFont val="Segoe UI"/>
            <charset val="1"/>
          </rPr>
          <t>Kathrin Graulich:</t>
        </r>
        <r>
          <rPr>
            <sz val="9"/>
            <color indexed="81"/>
            <rFont val="Segoe UI"/>
            <charset val="1"/>
          </rPr>
          <t xml:space="preserve">
efficiency of boilers 90-95%</t>
        </r>
      </text>
    </comment>
    <comment ref="G163" authorId="0" shapeId="0" xr:uid="{F72E38AE-3232-493A-A99F-DE83B593EF43}">
      <text>
        <r>
          <rPr>
            <b/>
            <sz val="9"/>
            <color indexed="81"/>
            <rFont val="Segoe UI"/>
            <charset val="1"/>
          </rPr>
          <t>Kathrin Graulich:</t>
        </r>
        <r>
          <rPr>
            <sz val="9"/>
            <color indexed="81"/>
            <rFont val="Segoe UI"/>
            <charset val="1"/>
          </rPr>
          <t xml:space="preserve">
Source: medium value of 23 undercounter dishwashers of the Swiss energy programme</t>
        </r>
      </text>
    </comment>
    <comment ref="G164" authorId="0" shapeId="0" xr:uid="{8C0CDC95-946E-4488-B5ED-AEFC0856D598}">
      <text>
        <r>
          <rPr>
            <b/>
            <sz val="9"/>
            <color indexed="81"/>
            <rFont val="Segoe UI"/>
            <charset val="1"/>
          </rPr>
          <t>Kathrin Graulich:</t>
        </r>
        <r>
          <rPr>
            <sz val="9"/>
            <color indexed="81"/>
            <rFont val="Segoe UI"/>
            <charset val="1"/>
          </rPr>
          <t xml:space="preserve">
medium value of 37 hood type machines of Swiss energy programme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tc={1F10C1DD-70D0-4C81-881E-2158BA030897}</author>
    <author>tc={5CB88DAB-7A33-4268-B709-5CCDDEF49066}</author>
    <author>tc={CE818FA0-BF71-4BEF-9450-A80BE315C16C}</author>
    <author>tc={671F25A8-588C-44EE-AF1F-9155B48723DE}</author>
    <author>tc={324CDD48-C65B-4689-AC85-12835D6ADCFB}</author>
    <author>tc={D13CA269-C43E-4E32-A60E-2A712A4F67DD}</author>
    <author>tc={CB01D88E-C254-4439-BBD5-31C73E7AA7CB}</author>
    <author>tc={F45093B2-139E-47EA-BECF-A8B3D93A7D22}</author>
    <author>tc={E3E454E5-E0B0-4C55-BBEF-6737280EBF7F}</author>
    <author>tc={9C427EB7-2412-4225-98CA-285B5AA0B988}</author>
    <author>tc={A172C8BE-040C-4B29-B18D-6D72A2E330E4}</author>
    <author>tc={AFEAD90D-6F69-4585-9EC2-8148F0EBD70D}</author>
    <author>tc={80DC6FA4-221B-4992-B17B-B31E54920741}</author>
  </authors>
  <commentList>
    <comment ref="I19" authorId="0" shapeId="0" xr:uid="{1F10C1DD-70D0-4C81-881E-2158BA030897}">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including Epoxy </t>
      </text>
    </comment>
    <comment ref="O19" authorId="1" shapeId="0" xr:uid="{5CB88DAB-7A33-4268-B709-5CCDDEF49066}">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including Epoxy </t>
      </text>
    </comment>
    <comment ref="U19" authorId="2" shapeId="0" xr:uid="{CE818FA0-BF71-4BEF-9450-A80BE315C16C}">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including Epoxy </t>
      </text>
    </comment>
    <comment ref="AG26" authorId="3" shapeId="0" xr:uid="{671F25A8-588C-44EE-AF1F-9155B48723DE}">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including Epoxy </t>
      </text>
    </comment>
    <comment ref="C27" authorId="4" shapeId="0" xr:uid="{324CDD48-C65B-4689-AC85-12835D6ADCF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including Epoxy (2nd summand, originally separate line)</t>
      </text>
    </comment>
    <comment ref="AA27" authorId="5" shapeId="0" xr:uid="{D13CA269-C43E-4E32-A60E-2A712A4F67DD}">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including Epoxy </t>
      </text>
    </comment>
    <comment ref="C56" authorId="6" shapeId="0" xr:uid="{CB01D88E-C254-4439-BBD5-31C73E7AA7C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 data available, value from cat. 2 could be used as proxy</t>
      </text>
    </comment>
    <comment ref="C72" authorId="7" shapeId="0" xr:uid="{F45093B2-139E-47EA-BECF-A8B3D93A7D2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 data available</t>
      </text>
    </comment>
    <comment ref="I72" authorId="8" shapeId="0" xr:uid="{E3E454E5-E0B0-4C55-BBEF-6737280EBF7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 data available</t>
      </text>
    </comment>
    <comment ref="O72" authorId="9" shapeId="0" xr:uid="{9C427EB7-2412-4225-98CA-285B5AA0B98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 data available</t>
      </text>
    </comment>
    <comment ref="U72" authorId="10" shapeId="0" xr:uid="{A172C8BE-040C-4B29-B18D-6D72A2E330E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 data available</t>
      </text>
    </comment>
    <comment ref="AA72" authorId="11" shapeId="0" xr:uid="{AFEAD90D-6F69-4585-9EC2-8148F0EBD70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 data available</t>
      </text>
    </comment>
    <comment ref="AG72" authorId="12" shapeId="0" xr:uid="{80DC6FA4-221B-4992-B17B-B31E5492074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 data available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tc={4C9C5E97-3426-4CEE-9144-94FC11D82953}</author>
    <author>tc={76AE3B3D-FB5C-45A2-BF59-878387B74804}</author>
    <author>tc={F19355F4-F672-4AFB-A43B-4A96759B6151}</author>
    <author>tc={A65D93EA-F595-40DA-86CB-CA58F3658C09}</author>
    <author>tc={1D0FCF34-3DD9-47B2-B6E0-683C0EC26C4E}</author>
    <author>tc={9D552A0F-CAF7-47F8-9AEE-17BF650D0B93}</author>
    <author>tc={F34A1932-A4BD-486C-AE49-D097148E80E6}</author>
    <author>tc={21BB11C4-56CD-420D-8CA8-D353CC592BE8}</author>
    <author>tc={8D57DD88-E07D-46AB-BC96-90FAF6E0D93C}</author>
  </authors>
  <commentList>
    <comment ref="B9" authorId="0" shapeId="0" xr:uid="{4C9C5E97-3426-4CEE-9144-94FC11D8295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@ecomatters, please check, according to the table / reference, it is not called heat, but low pressure steam; is the reference to that table correct at all?</t>
      </text>
    </comment>
    <comment ref="B10" authorId="1" shapeId="0" xr:uid="{76AE3B3D-FB5C-45A2-BF59-878387B74804}">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Split between water consumption cold water vs. warm water =&gt; warm water to be calculated extra with average values for heating this water to 60°C
</t>
      </text>
    </comment>
    <comment ref="B11" authorId="2" shapeId="0" xr:uid="{F19355F4-F672-4AFB-A43B-4A96759B615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 added this line; please use the EU average values how hot water supply is heated (mix of different energy sources)</t>
      </text>
    </comment>
    <comment ref="L17" authorId="3" shapeId="0" xr:uid="{A65D93EA-F595-40DA-86CB-CA58F3658C0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 changed the unit as these machine types are not cycle based</t>
      </text>
    </comment>
    <comment ref="N17" authorId="4" shapeId="0" xr:uid="{1D0FCF34-3DD9-47B2-B6E0-683C0EC26C4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 changed the unit as these machine types are not cycle based</t>
      </text>
    </comment>
    <comment ref="B20" authorId="5" shapeId="0" xr:uid="{9D552A0F-CAF7-47F8-9AEE-17BF650D0B9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 added this line because this is essential to calculate the number of cleaned dishes under real-life conditions (= partial load)</t>
      </text>
    </comment>
    <comment ref="B21" authorId="6" shapeId="0" xr:uid="{F34A1932-A4BD-486C-AE49-D097148E80E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 changed the description as the "duration of the typically used washing programme" is not relevant here for the calculations</t>
      </text>
    </comment>
    <comment ref="B24" authorId="7" shapeId="0" xr:uid="{21BB11C4-56CD-420D-8CA8-D353CC592BE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 added this line as rinse aid has to be calculated separately, see my previous email</t>
      </text>
    </comment>
    <comment ref="B25" authorId="8" shapeId="0" xr:uid="{8D57DD88-E07D-46AB-BC96-90FAF6E0D93C}">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No information from Task 3 on refrigerants, unfortunately
</t>
      </text>
    </comment>
  </commentList>
</comments>
</file>

<file path=xl/sharedStrings.xml><?xml version="1.0" encoding="utf-8"?>
<sst xmlns="http://schemas.openxmlformats.org/spreadsheetml/2006/main" count="4798" uniqueCount="708">
  <si>
    <t>Table 5-2</t>
  </si>
  <si>
    <t>Capacity ranges and typical capacities of the six categories of professional dishwashers (2024)</t>
  </si>
  <si>
    <t>input</t>
  </si>
  <si>
    <t>Dishwasher category</t>
  </si>
  <si>
    <t xml:space="preserve">minimum capacity </t>
  </si>
  <si>
    <t>maximum capacity</t>
  </si>
  <si>
    <t>typical capacity</t>
  </si>
  <si>
    <t>Unit</t>
  </si>
  <si>
    <t>MEMO: Change to British numbers =&gt; points for decimals, commas for 1,000 thousands</t>
  </si>
  <si>
    <r>
      <rPr>
        <b/>
        <sz val="11"/>
        <color theme="1"/>
        <rFont val="Calibri"/>
        <family val="2"/>
      </rPr>
      <t xml:space="preserve">No 1 </t>
    </r>
    <r>
      <rPr>
        <sz val="11"/>
        <color theme="1"/>
        <rFont val="Calibri"/>
        <family val="2"/>
      </rPr>
      <t xml:space="preserve">
Undercounter water-change</t>
    </r>
  </si>
  <si>
    <t>dishes/hour</t>
  </si>
  <si>
    <t>dishes/cycle 
(2 racks per cycle)</t>
  </si>
  <si>
    <r>
      <rPr>
        <b/>
        <sz val="11"/>
        <color theme="1"/>
        <rFont val="Calibri"/>
        <family val="2"/>
      </rPr>
      <t xml:space="preserve">No 2 </t>
    </r>
    <r>
      <rPr>
        <sz val="11"/>
        <color theme="1"/>
        <rFont val="Calibri"/>
        <family val="2"/>
      </rPr>
      <t xml:space="preserve">
Undercounter one-tank</t>
    </r>
  </si>
  <si>
    <t>plates/cycle</t>
  </si>
  <si>
    <r>
      <rPr>
        <b/>
        <sz val="11"/>
        <color theme="1"/>
        <rFont val="Calibri"/>
        <family val="2"/>
      </rPr>
      <t xml:space="preserve">No 3 </t>
    </r>
    <r>
      <rPr>
        <sz val="11"/>
        <color theme="1"/>
        <rFont val="Calibri"/>
        <family val="2"/>
      </rPr>
      <t xml:space="preserve">
Hood-type</t>
    </r>
  </si>
  <si>
    <r>
      <rPr>
        <b/>
        <sz val="11"/>
        <color theme="1"/>
        <rFont val="Calibri"/>
        <family val="2"/>
      </rPr>
      <t xml:space="preserve">No 4 </t>
    </r>
    <r>
      <rPr>
        <sz val="11"/>
        <color theme="1"/>
        <rFont val="Calibri"/>
        <family val="2"/>
      </rPr>
      <t xml:space="preserve">
Utensil/Pot</t>
    </r>
  </si>
  <si>
    <t>cycles/hour</t>
  </si>
  <si>
    <t>--</t>
  </si>
  <si>
    <t>not available, no standardised washware</t>
  </si>
  <si>
    <r>
      <rPr>
        <b/>
        <sz val="11"/>
        <color theme="1"/>
        <rFont val="Calibri"/>
        <family val="2"/>
      </rPr>
      <t>No 5</t>
    </r>
    <r>
      <rPr>
        <sz val="11"/>
        <color theme="1"/>
        <rFont val="Calibri"/>
        <family val="2"/>
      </rPr>
      <t xml:space="preserve"> Conveyor-type one-tank</t>
    </r>
  </si>
  <si>
    <r>
      <rPr>
        <b/>
        <sz val="11"/>
        <color theme="1"/>
        <rFont val="Calibri"/>
        <family val="2"/>
      </rPr>
      <t xml:space="preserve">No 6 </t>
    </r>
    <r>
      <rPr>
        <sz val="11"/>
        <color theme="1"/>
        <rFont val="Calibri"/>
        <family val="2"/>
      </rPr>
      <t>Conveyor-type multi-tank</t>
    </r>
  </si>
  <si>
    <t>Table 5-4</t>
  </si>
  <si>
    <r>
      <rPr>
        <b/>
        <sz val="11"/>
        <color theme="8" tint="0.39997558519241921"/>
        <rFont val="Calibri"/>
        <family val="2"/>
      </rPr>
      <t>Typical</t>
    </r>
    <r>
      <rPr>
        <b/>
        <sz val="11"/>
        <color theme="1"/>
        <rFont val="Calibri"/>
        <family val="2"/>
      </rPr>
      <t xml:space="preserve"> intensity of use of the different dishwasher categories (2024)</t>
    </r>
  </si>
  <si>
    <t>calculated</t>
  </si>
  <si>
    <t>Number 
of cycles per day</t>
  </si>
  <si>
    <t>Number of dishes (plates) per cycle</t>
  </si>
  <si>
    <t>Working days per year</t>
  </si>
  <si>
    <t>Typical workload of basket/belt</t>
  </si>
  <si>
    <t>Number of dishes or cycles per year</t>
  </si>
  <si>
    <t>dishes/year</t>
  </si>
  <si>
    <t>no information available</t>
  </si>
  <si>
    <t>cycles/year</t>
  </si>
  <si>
    <t>Number 
of dishes per hour</t>
  </si>
  <si>
    <t>Time in active mode per day</t>
  </si>
  <si>
    <t>Section 5.2.3</t>
  </si>
  <si>
    <t>Detergent and rinse aid</t>
  </si>
  <si>
    <t>Category 1</t>
  </si>
  <si>
    <t>Tablet</t>
  </si>
  <si>
    <t xml:space="preserve">g/cycle </t>
  </si>
  <si>
    <t>Powder</t>
  </si>
  <si>
    <t>Category 2 to 6</t>
  </si>
  <si>
    <t>Detergent</t>
  </si>
  <si>
    <t>g/litre</t>
  </si>
  <si>
    <t>Rinse aid</t>
  </si>
  <si>
    <t>Table 5-6</t>
  </si>
  <si>
    <t>Specific energy, water and detergent consumption of commercial dishwashers under ideal conditions (2024)</t>
  </si>
  <si>
    <t>input/derived</t>
  </si>
  <si>
    <t>input/data sheets</t>
  </si>
  <si>
    <t>input/calculated</t>
  </si>
  <si>
    <t xml:space="preserve">calculated </t>
  </si>
  <si>
    <t>Energy consumption (range)</t>
  </si>
  <si>
    <t>Energy consumption (typical)</t>
  </si>
  <si>
    <t>Water consumption (range); tank machines: only freshwater for rinse cycle</t>
  </si>
  <si>
    <t>Rinse aid consumption (g/100 dishes)</t>
  </si>
  <si>
    <t>Integrated detergent and rinse aid consumption (typical)</t>
  </si>
  <si>
    <t>Detergent consumption (g/100 dishes)</t>
  </si>
  <si>
    <t>2.0-2.5</t>
  </si>
  <si>
    <t>kWh/100 dishes</t>
  </si>
  <si>
    <t>35-50</t>
  </si>
  <si>
    <t>litres/100 dishes</t>
  </si>
  <si>
    <t>g/100 dishes</t>
  </si>
  <si>
    <t>see left (integrated detergent and rinse aid)</t>
  </si>
  <si>
    <t>1.5-2.5</t>
  </si>
  <si>
    <t>11-19.4</t>
  </si>
  <si>
    <t>2.02-2.10</t>
  </si>
  <si>
    <t>12-14</t>
  </si>
  <si>
    <t>0.7-1.0</t>
  </si>
  <si>
    <t>kWh per cycle</t>
  </si>
  <si>
    <t>5-7</t>
  </si>
  <si>
    <t>litres per cycle</t>
  </si>
  <si>
    <t>g per cycle</t>
  </si>
  <si>
    <t>1.8-2.3</t>
  </si>
  <si>
    <t>11-13</t>
  </si>
  <si>
    <t>1.6-2.3</t>
  </si>
  <si>
    <t>7-9</t>
  </si>
  <si>
    <t>Table 5-7</t>
  </si>
  <si>
    <t>Annual energy, water, detergent and rinse aid consumption of commercial dishwashers under ideal condition (2024)</t>
  </si>
  <si>
    <t>referenced</t>
  </si>
  <si>
    <t>Energy consumption (kWh/year)</t>
  </si>
  <si>
    <t>Water consumption (litres/year)</t>
  </si>
  <si>
    <t>Rinse aid consumption (kg/year)</t>
  </si>
  <si>
    <t>Detergent consumption 
(kg/year)</t>
  </si>
  <si>
    <t>Table 5-8</t>
  </si>
  <si>
    <t>Additional consumption at real-life workload (2011 data)</t>
  </si>
  <si>
    <t>Increase of … due to partial workload</t>
  </si>
  <si>
    <t>Average workload</t>
  </si>
  <si>
    <t>specific energy consumption</t>
  </si>
  <si>
    <t>specific water consumption</t>
  </si>
  <si>
    <t>specific detergent and rinse aid consumption</t>
  </si>
  <si>
    <t>Table 5-9 (new!)</t>
  </si>
  <si>
    <t>Energy, water, detergent and rinse aid consumption at partial loads (2024 data)</t>
  </si>
  <si>
    <t>Consumption of … at partial load</t>
  </si>
  <si>
    <t>Number of dishes or cycles per year at partial load</t>
  </si>
  <si>
    <t>Table 5-10 (new!)</t>
  </si>
  <si>
    <t>Specific energy, water, detergent and rinse aid consumption of commercial dishwashers under real-life (partial load) conditions (2024)</t>
  </si>
  <si>
    <t>referenced/calculated</t>
  </si>
  <si>
    <t>Specific energy consumption (partial load)</t>
  </si>
  <si>
    <t>Specific water consumption (partial load)</t>
  </si>
  <si>
    <t>Specific rinse aid consumption (partial load)</t>
  </si>
  <si>
    <t>Specific detergent  consumption (partial load)</t>
  </si>
  <si>
    <t>Table 5-11 (formerly 
Table 5-9)</t>
  </si>
  <si>
    <t>Programme selection and its influence on energy, water and detergent consumption (2024)</t>
  </si>
  <si>
    <t xml:space="preserve">Relative consumption of </t>
  </si>
  <si>
    <t xml:space="preserve">Type of programme </t>
  </si>
  <si>
    <t>Duration of programme</t>
  </si>
  <si>
    <t>Share of programme</t>
  </si>
  <si>
    <t>Energy</t>
  </si>
  <si>
    <t>Water</t>
  </si>
  <si>
    <t>No 1 
Undercounter water-change</t>
  </si>
  <si>
    <t>A</t>
  </si>
  <si>
    <t>Basic setting</t>
  </si>
  <si>
    <t>B</t>
  </si>
  <si>
    <t>Short running cycle</t>
  </si>
  <si>
    <t>C</t>
  </si>
  <si>
    <t>Long running cycle</t>
  </si>
  <si>
    <t>Average consumption in comparison to standard consumption</t>
  </si>
  <si>
    <t>No 2 
Undercounter one-tank</t>
  </si>
  <si>
    <t>No 3 
Hood-type</t>
  </si>
  <si>
    <t>No 4 
Utensil / Pot dishwashers</t>
  </si>
  <si>
    <t>No 5 
One-tank conveyor-type</t>
  </si>
  <si>
    <t>No 5 
Multi-tank conveyor-type</t>
  </si>
  <si>
    <t>Section 5.4.1.3</t>
  </si>
  <si>
    <t xml:space="preserve">Maloperation </t>
  </si>
  <si>
    <t>potential impact of maloperation</t>
  </si>
  <si>
    <t>Table 5-12 (new!)</t>
  </si>
  <si>
    <t>Additional water consumption for pre-rinse</t>
  </si>
  <si>
    <t>Additional water consumption for pre-rinse (litres per 100 items)</t>
  </si>
  <si>
    <t>Additional water consumption for pre-rinse (litres per year)</t>
  </si>
  <si>
    <t>For comparison: additional water consumption for pre-rinse (litres per day)</t>
  </si>
  <si>
    <t>Average share of pre-rinsing all dishes according to Kerschgens et al. 2021</t>
  </si>
  <si>
    <t>no information</t>
  </si>
  <si>
    <t>Table 5-13 (formerly
Table 5-10)</t>
  </si>
  <si>
    <t>Input parameters for calculation of consumption through initial filling and heating of wash-tanks (2024)</t>
  </si>
  <si>
    <t>Task 4</t>
  </si>
  <si>
    <t>derived</t>
  </si>
  <si>
    <t>Number of working shifts per day</t>
  </si>
  <si>
    <t>volume of wash tanks: range (litres)</t>
  </si>
  <si>
    <t>volume of wash tanks: assumed average (litres)</t>
  </si>
  <si>
    <t>Operation temperature of wash tanks: range (°C)</t>
  </si>
  <si>
    <t>Operation temperature of wash tanks: assumed average (°C)</t>
  </si>
  <si>
    <t>n.a.</t>
  </si>
  <si>
    <t>8-25</t>
  </si>
  <si>
    <t>55-65°C</t>
  </si>
  <si>
    <t>14-60</t>
  </si>
  <si>
    <t>60-130</t>
  </si>
  <si>
    <t>70-130</t>
  </si>
  <si>
    <t>130-750 litres, with an average of 100-400 litres per single tank (a machine can have multiple tanks)</t>
  </si>
  <si>
    <t>Table 5-14 (formerly 
Table 5-11)</t>
  </si>
  <si>
    <t>Energy, water and detergent consumption for two tank fills and heating of wash tanks (2024)</t>
  </si>
  <si>
    <t xml:space="preserve">Water consumption of tank fills </t>
  </si>
  <si>
    <t xml:space="preserve">Share: cold water consumption </t>
  </si>
  <si>
    <t xml:space="preserve">Share: hot water consumption </t>
  </si>
  <si>
    <t xml:space="preserve">Detergent consumption </t>
  </si>
  <si>
    <t>K</t>
  </si>
  <si>
    <t>(litres/year)</t>
  </si>
  <si>
    <t>Cold water filling</t>
  </si>
  <si>
    <t>Hot water filling</t>
  </si>
  <si>
    <t>(kg/year)</t>
  </si>
  <si>
    <t>temperature difference from 15°C =&gt; 60°C</t>
  </si>
  <si>
    <t>kJ/(kg*K)</t>
  </si>
  <si>
    <t>heating capacity of water</t>
  </si>
  <si>
    <t>*</t>
  </si>
  <si>
    <t>efficiency</t>
  </si>
  <si>
    <t>in the case of cold water filling</t>
  </si>
  <si>
    <t>kJ/kWh</t>
  </si>
  <si>
    <t>converting KJ in kWh</t>
  </si>
  <si>
    <t>* hot water heating requires indirect energy demand outside of the dishwasher; the environmental impacts will be modelled in Task 5</t>
  </si>
  <si>
    <t>Table 5-15 (formerly 
Table 5-12)</t>
  </si>
  <si>
    <t>Typical time in low-power modes and standby consumption of professional dishwashers (2024)</t>
  </si>
  <si>
    <t>Time in low power modes in hours per day</t>
  </si>
  <si>
    <t>Average use time (switched on) in hours per day</t>
  </si>
  <si>
    <t>Ready to use mode</t>
  </si>
  <si>
    <t>Left-on 
mode</t>
  </si>
  <si>
    <t>Standby consumption (kW)</t>
  </si>
  <si>
    <t>Ready to use mode (average)</t>
  </si>
  <si>
    <t>Standby consumption (average)</t>
  </si>
  <si>
    <t>4</t>
  </si>
  <si>
    <t>10-14</t>
  </si>
  <si>
    <t>6-12</t>
  </si>
  <si>
    <t>0,1-0,3</t>
  </si>
  <si>
    <t>7-10</t>
  </si>
  <si>
    <t>0,2-0,45</t>
  </si>
  <si>
    <t>10-12</t>
  </si>
  <si>
    <t>7-11</t>
  </si>
  <si>
    <t>0,1-1,0</t>
  </si>
  <si>
    <t>10-15</t>
  </si>
  <si>
    <t>4-6</t>
  </si>
  <si>
    <t>0,8-2,1</t>
  </si>
  <si>
    <t>1,5-2,2</t>
  </si>
  <si>
    <t>Table 5-16 (formerly Table 5-13)</t>
  </si>
  <si>
    <t>Annual energy, water, and detergent consumption (real life conditions), 2024</t>
  </si>
  <si>
    <t>Annual energy consumption per appliance (kWh)</t>
  </si>
  <si>
    <t>Annual water consumption per appliance (litres)</t>
  </si>
  <si>
    <t>Annual detergent consumption per appliance (kg)</t>
  </si>
  <si>
    <t>Annual rinse aid consumption per appliance (kg)</t>
  </si>
  <si>
    <t>Table 5-17 (formerly Table 5-14)</t>
  </si>
  <si>
    <t>Additional energy consumption (real life conditions)</t>
  </si>
  <si>
    <t>referenced (Table 5-9)</t>
  </si>
  <si>
    <t>Additional energy consumption (kWh/year) due to…</t>
  </si>
  <si>
    <t>Ideal energy consumption (kWh/year)</t>
  </si>
  <si>
    <t>…different programmes</t>
  </si>
  <si>
    <t>…mal-operation</t>
  </si>
  <si>
    <t>…initial tank fills 
(cold water)</t>
  </si>
  <si>
    <t>…standby</t>
  </si>
  <si>
    <t>Real energy consumption 
(kWh/year)</t>
  </si>
  <si>
    <t>Specific energy consumption real life (kWh/100 dishes)</t>
  </si>
  <si>
    <t>Anteil hot water filling: environmental impacts müssen separat in T5 berechnet werden mit Durchschnittswerten (Vorkettendaten Durchschnittswerte Warmwasserbereitung)</t>
  </si>
  <si>
    <t>Table 5-18 (formerly Table 5-15)</t>
  </si>
  <si>
    <t>Additional water consumption (real life conditions)</t>
  </si>
  <si>
    <t>Additional water consumption (litres/year) due to…</t>
  </si>
  <si>
    <t>Ideal water consumption (litres/year)</t>
  </si>
  <si>
    <t>…initial tank fills 
(cold and warm water)</t>
  </si>
  <si>
    <t>…manual 
pre-rinsing</t>
  </si>
  <si>
    <t>Real water consumption</t>
  </si>
  <si>
    <t>Specific water consumption real life (litres/100 dishes)</t>
  </si>
  <si>
    <t>Table 5-19 (formerly Table 5-16)</t>
  </si>
  <si>
    <t>Additional detergent consumption (real life conditions)</t>
  </si>
  <si>
    <t>Additional detergent consumption (kg/year) due to…</t>
  </si>
  <si>
    <t>Ideal detergent consumption (kg/year)</t>
  </si>
  <si>
    <t>…initial tank fills</t>
  </si>
  <si>
    <t>Real detergent consumption 
(kg/year)</t>
  </si>
  <si>
    <t>Specific detergent consumption real life (g/100 dishes)</t>
  </si>
  <si>
    <t>Table 5-20 (new!)</t>
  </si>
  <si>
    <t>Additional rinse aid consumption (real life conditions)</t>
  </si>
  <si>
    <t>Additional rinse aid consumption (kg/year) due to…</t>
  </si>
  <si>
    <t>Ideal rinse aid consumption (kg/year)</t>
  </si>
  <si>
    <t>Real rinse aid consumption</t>
  </si>
  <si>
    <t>Specific rinse aid consumption real life (g/100 dishes)</t>
  </si>
  <si>
    <t xml:space="preserve">see above, integrated detergent and rinse aid </t>
  </si>
  <si>
    <t xml:space="preserve">integrated detergent and rinse aid </t>
  </si>
  <si>
    <t>Table 5-21 (formerly Table 5-17)</t>
  </si>
  <si>
    <t>Estimated lifespan according to stakeholder consultation (2024)</t>
  </si>
  <si>
    <t>Range of answers</t>
  </si>
  <si>
    <t>Median of estimated lifespan in years</t>
  </si>
  <si>
    <t>7-15</t>
  </si>
  <si>
    <t>8-10</t>
  </si>
  <si>
    <t>10-17</t>
  </si>
  <si>
    <t>Table 5-22 (formerly Table 5-18)</t>
  </si>
  <si>
    <t>Estimated average frequency of maintenance and repair actions according to stakeholder consultation (2024)</t>
  </si>
  <si>
    <r>
      <t xml:space="preserve">Estimated average frequency of </t>
    </r>
    <r>
      <rPr>
        <u/>
        <sz val="11"/>
        <color theme="1"/>
        <rFont val="Calibri"/>
        <family val="2"/>
      </rPr>
      <t>maintenance</t>
    </r>
    <r>
      <rPr>
        <sz val="11"/>
        <color theme="1"/>
        <rFont val="Calibri"/>
        <family val="2"/>
      </rPr>
      <t xml:space="preserve"> actions: </t>
    </r>
    <r>
      <rPr>
        <u/>
        <sz val="11"/>
        <color theme="1"/>
        <rFont val="Calibri"/>
        <family val="2"/>
      </rPr>
      <t>range</t>
    </r>
    <r>
      <rPr>
        <sz val="11"/>
        <color theme="1"/>
        <rFont val="Calibri"/>
        <family val="2"/>
      </rPr>
      <t xml:space="preserve"> (numbers </t>
    </r>
    <r>
      <rPr>
        <u/>
        <sz val="11"/>
        <color theme="1"/>
        <rFont val="Calibri"/>
        <family val="2"/>
      </rPr>
      <t>per year</t>
    </r>
    <r>
      <rPr>
        <sz val="11"/>
        <color theme="1"/>
        <rFont val="Calibri"/>
        <family val="2"/>
      </rPr>
      <t>)</t>
    </r>
  </si>
  <si>
    <r>
      <t xml:space="preserve">Estimated average frequency of </t>
    </r>
    <r>
      <rPr>
        <u/>
        <sz val="11"/>
        <color theme="1"/>
        <rFont val="Calibri"/>
        <family val="2"/>
      </rPr>
      <t>maintenance</t>
    </r>
    <r>
      <rPr>
        <sz val="11"/>
        <color theme="1"/>
        <rFont val="Calibri"/>
        <family val="2"/>
      </rPr>
      <t xml:space="preserve"> actions: 
(numbers </t>
    </r>
    <r>
      <rPr>
        <u/>
        <sz val="11"/>
        <color theme="1"/>
        <rFont val="Calibri"/>
        <family val="2"/>
      </rPr>
      <t>per year</t>
    </r>
    <r>
      <rPr>
        <sz val="11"/>
        <color theme="1"/>
        <rFont val="Calibri"/>
        <family val="2"/>
      </rPr>
      <t>)</t>
    </r>
  </si>
  <si>
    <r>
      <t xml:space="preserve">Estimated average frequency of </t>
    </r>
    <r>
      <rPr>
        <u/>
        <sz val="11"/>
        <color theme="1"/>
        <rFont val="Calibri"/>
        <family val="2"/>
      </rPr>
      <t>repair</t>
    </r>
    <r>
      <rPr>
        <sz val="11"/>
        <color theme="1"/>
        <rFont val="Calibri"/>
        <family val="2"/>
      </rPr>
      <t xml:space="preserve"> actions: </t>
    </r>
    <r>
      <rPr>
        <u/>
        <sz val="11"/>
        <color theme="1"/>
        <rFont val="Calibri"/>
        <family val="2"/>
      </rPr>
      <t>range</t>
    </r>
    <r>
      <rPr>
        <sz val="11"/>
        <color theme="1"/>
        <rFont val="Calibri"/>
        <family val="2"/>
      </rPr>
      <t xml:space="preserve"> 
(numbers </t>
    </r>
    <r>
      <rPr>
        <u/>
        <sz val="11"/>
        <color theme="1"/>
        <rFont val="Calibri"/>
        <family val="2"/>
      </rPr>
      <t>during lifetime</t>
    </r>
    <r>
      <rPr>
        <sz val="11"/>
        <color theme="1"/>
        <rFont val="Calibri"/>
        <family val="2"/>
      </rPr>
      <t>)</t>
    </r>
  </si>
  <si>
    <r>
      <t xml:space="preserve">Estimated average frequency of </t>
    </r>
    <r>
      <rPr>
        <u/>
        <sz val="11"/>
        <color theme="1"/>
        <rFont val="Calibri"/>
        <family val="2"/>
      </rPr>
      <t>repair</t>
    </r>
    <r>
      <rPr>
        <sz val="11"/>
        <color theme="1"/>
        <rFont val="Calibri"/>
        <family val="2"/>
      </rPr>
      <t xml:space="preserve"> actions: 
(numbers </t>
    </r>
    <r>
      <rPr>
        <u/>
        <sz val="11"/>
        <color theme="1"/>
        <rFont val="Calibri"/>
        <family val="2"/>
      </rPr>
      <t>during lifetime</t>
    </r>
    <r>
      <rPr>
        <sz val="11"/>
        <color theme="1"/>
        <rFont val="Calibri"/>
        <family val="2"/>
      </rPr>
      <t>)</t>
    </r>
  </si>
  <si>
    <t>1-10</t>
  </si>
  <si>
    <t>1-15</t>
  </si>
  <si>
    <t>1-60</t>
  </si>
  <si>
    <t>1-18</t>
  </si>
  <si>
    <t>1-50</t>
  </si>
  <si>
    <t>1-30</t>
  </si>
  <si>
    <t>1-75</t>
  </si>
  <si>
    <t>Table 5-24 (formerly Table 5-20)</t>
  </si>
  <si>
    <t>Estimation of revenues from scrap metal fraction exemplified for an undercounter one-tank dishwasher (category 2)</t>
  </si>
  <si>
    <t>Referenced Task 4 (6.3.1.2)</t>
  </si>
  <si>
    <t>Input 
(internet source)</t>
  </si>
  <si>
    <t>Calculated</t>
  </si>
  <si>
    <t>Material / component</t>
  </si>
  <si>
    <t>Weight in g</t>
  </si>
  <si>
    <t>Revenues from scrap (€/kg)</t>
  </si>
  <si>
    <t>Resulting revenues (€)</t>
  </si>
  <si>
    <t>Stainless steel</t>
  </si>
  <si>
    <t>According to Aperam's feedback, this revenue is at the highest end and might be lower (without naming an alternative price)</t>
  </si>
  <si>
    <t>Pumps (copper)</t>
  </si>
  <si>
    <t>Pumps (stack of sheets)</t>
  </si>
  <si>
    <t>Pumps (stainless steel wave)</t>
  </si>
  <si>
    <t>Pumps (Al)</t>
  </si>
  <si>
    <t>Cable (copper)</t>
  </si>
  <si>
    <t>Total</t>
  </si>
  <si>
    <t>Table 5-25 (formerly Table 5-21)</t>
  </si>
  <si>
    <t xml:space="preserve">Water connection of professional dishwashers </t>
  </si>
  <si>
    <t>2011 data</t>
  </si>
  <si>
    <t>Only cold water connection</t>
  </si>
  <si>
    <t>Cold and hot water (continuous operation)</t>
  </si>
  <si>
    <t>Hot water (initial filling) Cold water (final rinse)</t>
  </si>
  <si>
    <t>Only hot water connection (for initial filling and final rinse)</t>
  </si>
  <si>
    <t>Table 5-26 (formerly Table 5-23)</t>
  </si>
  <si>
    <t>Types of water heating in professional dishwashers (2024)</t>
  </si>
  <si>
    <t xml:space="preserve">Electricity </t>
  </si>
  <si>
    <t>Low pressure steam and hot water</t>
  </si>
  <si>
    <t xml:space="preserve">Natural gas </t>
  </si>
  <si>
    <t>98-100%</t>
  </si>
  <si>
    <t>0-2%</t>
  </si>
  <si>
    <t>90-100%</t>
  </si>
  <si>
    <t>0-10%</t>
  </si>
  <si>
    <t>85-90%</t>
  </si>
  <si>
    <t>10-15%</t>
  </si>
  <si>
    <t>Bill of Materials input  - Task 4</t>
  </si>
  <si>
    <t>Table 6-12</t>
  </si>
  <si>
    <t>Table 6-13</t>
  </si>
  <si>
    <t>Table 6-14</t>
  </si>
  <si>
    <t>Table 6-15</t>
  </si>
  <si>
    <t>Table 6-16</t>
  </si>
  <si>
    <t>Table 6-18</t>
  </si>
  <si>
    <t>Base case 1</t>
  </si>
  <si>
    <t>Base case 2</t>
  </si>
  <si>
    <t>Base case 3</t>
  </si>
  <si>
    <t>Base case 4</t>
  </si>
  <si>
    <t>Base case 5</t>
  </si>
  <si>
    <t>Base case 6</t>
  </si>
  <si>
    <t>Undercounter water-change dishwashers</t>
  </si>
  <si>
    <t>Undercounter one-tank dishwashers</t>
  </si>
  <si>
    <t>Hood-type dishwashers</t>
  </si>
  <si>
    <t>Utensil / pot dishwashers</t>
  </si>
  <si>
    <t>One-tank conveyor-type dishwashers</t>
  </si>
  <si>
    <t>Multi-tank conveyor-type dishwashers</t>
  </si>
  <si>
    <t>Material</t>
  </si>
  <si>
    <t>Value</t>
  </si>
  <si>
    <t>Weight in %</t>
  </si>
  <si>
    <t>Material category</t>
  </si>
  <si>
    <t>Stainless Steel</t>
  </si>
  <si>
    <t>kg</t>
  </si>
  <si>
    <t>3-Ferro</t>
  </si>
  <si>
    <t>3-Ferrous</t>
  </si>
  <si>
    <t>Steel Sheet galvanized</t>
  </si>
  <si>
    <t>Polypropylene (PP)</t>
  </si>
  <si>
    <t>1-BlkPlastics</t>
  </si>
  <si>
    <t>Polypropylen (PP)</t>
  </si>
  <si>
    <t>Polyamide (PA)</t>
  </si>
  <si>
    <t>2-TecPlastics</t>
  </si>
  <si>
    <t>Polyamid (PA)</t>
  </si>
  <si>
    <t>Acrylonitrile Butadiene Styrene (ABS)</t>
  </si>
  <si>
    <t>Ethylene Propylene Dien M-class rubber (EPDM)</t>
  </si>
  <si>
    <t>Polyvinyl chloride (PVC)</t>
  </si>
  <si>
    <t>Polymethylmetacrylate (PMMA)</t>
  </si>
  <si>
    <t>4-Non-ferrous</t>
  </si>
  <si>
    <t>Polystyrene (PS)</t>
  </si>
  <si>
    <t>Styropor expandable polystyrene (EPS)</t>
  </si>
  <si>
    <t>Polybutylene Terephthalate (PBT)</t>
  </si>
  <si>
    <t xml:space="preserve">Aluminium </t>
  </si>
  <si>
    <t>4-Non-ferro</t>
  </si>
  <si>
    <t>Polyvinylchlorid (PVC)</t>
  </si>
  <si>
    <t>Condenser (AL)</t>
  </si>
  <si>
    <t>EPDM-rubber</t>
  </si>
  <si>
    <t>Cable sheath (PVC)</t>
  </si>
  <si>
    <t>Condenser (Cu)</t>
  </si>
  <si>
    <t>POM</t>
  </si>
  <si>
    <t>Cable sheath (silicone, EDPM)</t>
  </si>
  <si>
    <t>Ventilator, fan (AL)</t>
  </si>
  <si>
    <t>PE</t>
  </si>
  <si>
    <t>Electronics (control)</t>
  </si>
  <si>
    <t>6-Electronics</t>
  </si>
  <si>
    <t>Ventilator, fan (Cu)</t>
  </si>
  <si>
    <t>Plastics others</t>
  </si>
  <si>
    <t>Gaskets (EDPM)</t>
  </si>
  <si>
    <t>Gaskets, etc. (EDPM)</t>
  </si>
  <si>
    <t>Drive motor (AL)</t>
  </si>
  <si>
    <t>Drive motor (Cu)</t>
  </si>
  <si>
    <t>Cu wire</t>
  </si>
  <si>
    <t>CuZn38 cast</t>
  </si>
  <si>
    <t>Chrom</t>
  </si>
  <si>
    <t>Bitumen</t>
  </si>
  <si>
    <t>7-Misc.</t>
  </si>
  <si>
    <t>Electric contactor (copper)</t>
  </si>
  <si>
    <t>Cotton</t>
  </si>
  <si>
    <t>Total product weight</t>
  </si>
  <si>
    <t>Table 6-23</t>
  </si>
  <si>
    <t>Packaging material</t>
  </si>
  <si>
    <t>EPS</t>
  </si>
  <si>
    <t>PE-Foil</t>
  </si>
  <si>
    <t>PP (pastic strips)</t>
  </si>
  <si>
    <t>Wood</t>
  </si>
  <si>
    <t>PET</t>
  </si>
  <si>
    <t>Cardboard</t>
  </si>
  <si>
    <t>Cast iron</t>
  </si>
  <si>
    <t>Total packaging weight</t>
  </si>
  <si>
    <t>Total weight of product (incl. packaging)</t>
  </si>
  <si>
    <t>Input manufacturing - Task 4</t>
  </si>
  <si>
    <t>Energy used in manufacturing</t>
  </si>
  <si>
    <t>Electricity</t>
  </si>
  <si>
    <t>kWh</t>
  </si>
  <si>
    <t>Table 6-21</t>
  </si>
  <si>
    <t>Heat</t>
  </si>
  <si>
    <t>Additional materials used in manufacturing</t>
  </si>
  <si>
    <t>Input distribution - Task 4</t>
  </si>
  <si>
    <t>If left empty, default distances will be used based on PEF guidance</t>
  </si>
  <si>
    <t>Transport - lorry</t>
  </si>
  <si>
    <t>Weight of product (incl. packaging)</t>
  </si>
  <si>
    <t>ton</t>
  </si>
  <si>
    <t>Distance</t>
  </si>
  <si>
    <t>km</t>
  </si>
  <si>
    <t>Transport - train</t>
  </si>
  <si>
    <t>Transport - ship</t>
  </si>
  <si>
    <t>General information - Task 3</t>
  </si>
  <si>
    <t>Input data points for calculations</t>
  </si>
  <si>
    <t>Utilities input</t>
  </si>
  <si>
    <t>Annual energy consumption (total)</t>
  </si>
  <si>
    <t>Energy consumption: Electricity</t>
  </si>
  <si>
    <t>%</t>
  </si>
  <si>
    <t>Energy consumption: Heat</t>
  </si>
  <si>
    <t>Annual water consumption (cold water)</t>
  </si>
  <si>
    <t>litres/year</t>
  </si>
  <si>
    <t>Annual water consumption (hot water)</t>
  </si>
  <si>
    <t>Specific heat for water (1° C increase)</t>
  </si>
  <si>
    <t>kJ/kg water</t>
  </si>
  <si>
    <t>Specific heat for water (increase from 15° C to 60 ° C)</t>
  </si>
  <si>
    <t>kWh/L water</t>
  </si>
  <si>
    <t>Energy consumption: Heat for water heating</t>
  </si>
  <si>
    <t>kWh/year</t>
  </si>
  <si>
    <t>Operational information</t>
  </si>
  <si>
    <t>Cycles per day</t>
  </si>
  <si>
    <t>cycles/day</t>
  </si>
  <si>
    <t>Number of working days per year</t>
  </si>
  <si>
    <t>days/year</t>
  </si>
  <si>
    <t>Dishes per cycle</t>
  </si>
  <si>
    <t>unit</t>
  </si>
  <si>
    <t>Typical workload</t>
  </si>
  <si>
    <t>hours/day</t>
  </si>
  <si>
    <t>Auxiliary Materials</t>
  </si>
  <si>
    <t>Annual detergent consumption</t>
  </si>
  <si>
    <t>kg/year</t>
  </si>
  <si>
    <t>Annual rinse aid consumption</t>
  </si>
  <si>
    <t>Refrigerant filling per machine</t>
  </si>
  <si>
    <t>Type of refrigerant</t>
  </si>
  <si>
    <t>-</t>
  </si>
  <si>
    <t>Percentage released during its lifetime</t>
  </si>
  <si>
    <t>Economic data - Task 2 / 3</t>
  </si>
  <si>
    <t>Lifetime</t>
  </si>
  <si>
    <t>Average expected initial life time</t>
  </si>
  <si>
    <t>years</t>
  </si>
  <si>
    <r>
      <t>Weibull shape parameter (</t>
    </r>
    <r>
      <rPr>
        <sz val="11"/>
        <color theme="1"/>
        <rFont val="Symbol"/>
        <family val="1"/>
        <charset val="2"/>
      </rPr>
      <t>b</t>
    </r>
    <r>
      <rPr>
        <sz val="11"/>
        <color theme="1"/>
        <rFont val="Aptos Narrow"/>
        <family val="2"/>
        <scheme val="minor"/>
      </rPr>
      <t>)</t>
    </r>
  </si>
  <si>
    <t>Economic Life Cycle</t>
  </si>
  <si>
    <t>Latest Annual sales (2023)</t>
  </si>
  <si>
    <t>mln. units/year</t>
  </si>
  <si>
    <t>Assumed purchase price</t>
  </si>
  <si>
    <t>Euro/unit</t>
  </si>
  <si>
    <t>Number of priority parts for repair and upgrade</t>
  </si>
  <si>
    <t>Installation/acquisition costs (if any)</t>
  </si>
  <si>
    <t>Euro/ unit</t>
  </si>
  <si>
    <t>Fuel rate (gas, oil, wood)</t>
  </si>
  <si>
    <t>Euro/MJ</t>
  </si>
  <si>
    <t>Electricity rate</t>
  </si>
  <si>
    <t>Euro/kWh</t>
  </si>
  <si>
    <t>Water rate</t>
  </si>
  <si>
    <t>Euro/m3</t>
  </si>
  <si>
    <t>Repair &amp; maintenance costs</t>
  </si>
  <si>
    <t>Discount rate (interest minus inflation)</t>
  </si>
  <si>
    <t>Escalation rate (project annual growth of running costs)</t>
  </si>
  <si>
    <t>Ratio efficiency STOCK: efficiency NEW, in Use Phase</t>
  </si>
  <si>
    <t xml:space="preserve">Price of auxiliary material 1: Detergent </t>
  </si>
  <si>
    <t>Euro/kg detergent</t>
  </si>
  <si>
    <t>Price of auxiliary material 2: Rinsing agent</t>
  </si>
  <si>
    <t>Euro/kg rinsing agent</t>
  </si>
  <si>
    <t>Price of auxiliary material 3:</t>
  </si>
  <si>
    <t>Sales per year</t>
  </si>
  <si>
    <t>Life Cycle Assessment  and Life Cycle Costing input tables for ERT</t>
  </si>
  <si>
    <t>For changes in existing data please use the column "Change tracking" to record the changes.</t>
  </si>
  <si>
    <t>Please provide you comments in the dedicated column "Comments consortium partners".</t>
  </si>
  <si>
    <t>Reference information</t>
  </si>
  <si>
    <t>Base case #</t>
  </si>
  <si>
    <t>Base case</t>
  </si>
  <si>
    <t>Functional Unit</t>
  </si>
  <si>
    <t>Use of a dishwasher over its lifetime</t>
  </si>
  <si>
    <t>Reference flow</t>
  </si>
  <si>
    <t>E.g. 1 unit of clean dish</t>
  </si>
  <si>
    <t>Bill of Materials</t>
  </si>
  <si>
    <t>Make sure all units are correct!</t>
  </si>
  <si>
    <t>Indicate changes to orginal information (if needed)</t>
  </si>
  <si>
    <t>Default Recycled content? (if not add percentage)</t>
  </si>
  <si>
    <t>Recycled content percentage</t>
  </si>
  <si>
    <t>Source</t>
  </si>
  <si>
    <t>Data quality assessment</t>
  </si>
  <si>
    <t>Comments EM</t>
  </si>
  <si>
    <t>Task number</t>
  </si>
  <si>
    <t>Comments Consortium Partners</t>
  </si>
  <si>
    <t>Change tracking</t>
  </si>
  <si>
    <t>Dataset used (selected by EM)</t>
  </si>
  <si>
    <t>Dataset recycling</t>
  </si>
  <si>
    <t>Yes</t>
  </si>
  <si>
    <t>Previous study</t>
  </si>
  <si>
    <t>85-Stainless steel cold rolled hot rolling production mix, at plant stainless steel</t>
  </si>
  <si>
    <t>128-Steel cast part alloyed electric arc furnace route, from steel scrap, secondary production single route, at plant carbon steel</t>
  </si>
  <si>
    <t>16-Polypropylene (PP), petrochemical based polymerisation of bio-fossil propylene production mix, at plant petrochemical based</t>
  </si>
  <si>
    <t>35-Polypropylene, recycled, post-consumer washing, drying, shredding, pelletizing production mix, at plant Erec/ErecEoL, efficiency 90%</t>
  </si>
  <si>
    <t>Proxy nylon</t>
  </si>
  <si>
    <t>11-Nylon 6 fiber extrusion into fiber production mix, at plant 5% loss, 3,5 MJ electricity</t>
  </si>
  <si>
    <t>31-Nylon fibre, recycled, mechanical, post-consumer washing, drying, shredding, drum rotating spinning production mix, at plant Erec/ErecEoL, efficiency 90%</t>
  </si>
  <si>
    <t>40-Recycling of post-consumer waste polypropylene (PP) collection, sorting, transport, washing, granulation, pelletization production mix, at plant 48,9% recycling rate</t>
  </si>
  <si>
    <t>1-Acrylonitrile Butadiene Styrene (ABS) emulsion polymerisation, bulk polymerisation or combined processes production mix, at plant</t>
  </si>
  <si>
    <t>36-Recycling plastic Acrylonitrile-butadiene-styrene (ABS), waste management, technology mix</t>
  </si>
  <si>
    <t>17-Polystyrene production, high impact polymerisation of styrene production mix, at plant 1.05 g/cm3</t>
  </si>
  <si>
    <t>5-EPS Beads from styrene polymerization and foaming production mix, at plant 0.96- 1.04 g/cm3</t>
  </si>
  <si>
    <t>not available</t>
  </si>
  <si>
    <t>12-Polyethylene terephthalate (PET), petrochemical based polymerisation of ethylene glycol and terephthalic acid production mix, at plant petrochemical based</t>
  </si>
  <si>
    <t>41-Polyethylene terephthalate (PET) granulate secondary ; no metal fraction from post-consumer waste, via washing, granulation, pelletization production mix, at plant 90% recycling rate</t>
  </si>
  <si>
    <t>22-PVC granulates, low density polymerisation of vinyl chloride production mix, at plant 62 g/mol per repeating unit</t>
  </si>
  <si>
    <t>37-Recycling plastic (PVC), waste management, technology mix, at plant</t>
  </si>
  <si>
    <t>6-Ethylene propylene dien elastomer (EPDM) copolymerization of ethylene and propylene production mix, at plant 69% ethylene, 38% propylene</t>
  </si>
  <si>
    <t>39-Recycling of post-industrial waste EPDM rubber</t>
  </si>
  <si>
    <t>7-HDPE granulates Polymerisation of ethylene production mix, at plant 0.91- 0.96 g/cm3, 28 g/mol per repeating unit</t>
  </si>
  <si>
    <t>28-High density polyethylene (HDPE), recycled washing, drying, shredding, pelletizing production mix, at plant Erec/ErecEoL, efficiency 98%</t>
  </si>
  <si>
    <t>52-Aluminium ingot mix (high purity) primary production, aluminium casting single route, at plant 2.7 g/cm3, &gt;99% Al</t>
  </si>
  <si>
    <t>123-Recycling of aluminium into aluminium ingot - from post-consumer collection, transport, pretreatment, remelting production mix, at plant aluminium waste, efficiency 90%</t>
  </si>
  <si>
    <t>61-Copper Cathode, production mix</t>
  </si>
  <si>
    <t>124-Secondary Copper Cathode (including scrap LCI input) copper scrap smelting and refining single route, at plant 8.92 g/cm3</t>
  </si>
  <si>
    <t>m2</t>
  </si>
  <si>
    <t>141-Controller board</t>
  </si>
  <si>
    <t>206-Recycling of controller board</t>
  </si>
  <si>
    <t>Task 4 (2011 study), page 5</t>
  </si>
  <si>
    <t>Proxy, pallet dataset faulty</t>
  </si>
  <si>
    <t>284-Plywood box; attaching veneer layers; production mix, at plant; 5% moisture</t>
  </si>
  <si>
    <t>217-Corrugated board, uncoated "virgin" Kraft Pulping Process, pulp pressing and drying production mix, at plant flute thickness 0.8- 2.8 mm, R1=0%</t>
  </si>
  <si>
    <t>238-Recycling paper and cardboard, waste management, technology mix, at plant collection, sorting, transport, recycling production mix, at plant paper waste, efficiency 90,9%</t>
  </si>
  <si>
    <t>Manufacturing data</t>
  </si>
  <si>
    <t xml:space="preserve">Comments EM </t>
  </si>
  <si>
    <t>Reference</t>
  </si>
  <si>
    <t>Stakeholder input</t>
  </si>
  <si>
    <t>Manufacturing/ Assembly processes per Material</t>
  </si>
  <si>
    <t>Value in tool</t>
  </si>
  <si>
    <t>Manufacturing process</t>
  </si>
  <si>
    <t>Comments</t>
  </si>
  <si>
    <t>Dataset used</t>
  </si>
  <si>
    <t>Stamping and bending</t>
  </si>
  <si>
    <t>Best dataset choice from tool options</t>
  </si>
  <si>
    <t>91-Steel sheet stamping and bending stamping and bending single route, at plant 5% loss</t>
  </si>
  <si>
    <t>Injection moulding</t>
  </si>
  <si>
    <t>8-Injection moulding plastic injection moulding production mix, at plant for PP, HDPE and PE</t>
  </si>
  <si>
    <t>Proxy</t>
  </si>
  <si>
    <t>Blow moulding</t>
  </si>
  <si>
    <t>3-Blow moulding blow moulding production mix, at plant PET, HDPE and PP</t>
  </si>
  <si>
    <t>Sheet rolling</t>
  </si>
  <si>
    <t>53-Aluminium sheet rolling primary production, aluminium deep- drawing single route, at plant 2.7 g/cm3</t>
  </si>
  <si>
    <t>Wire Drawing</t>
  </si>
  <si>
    <t>65-Copper Wire Drawing wire drawing single route, at plant 8.92 g/cm3</t>
  </si>
  <si>
    <t>Assembly</t>
  </si>
  <si>
    <t>131-Assembly line THT/SMD technology mix production mix, at plant THT/SMD (1TP,1SP,1CS,1WO,1Rf) throughput 600/h</t>
  </si>
  <si>
    <t>Distribution data</t>
  </si>
  <si>
    <t xml:space="preserve">Please add the source of each addition from the dropdown list. Data quality assessment is done automatically. </t>
  </si>
  <si>
    <t>Comment EM</t>
  </si>
  <si>
    <t>Weight from total weight in BoM</t>
  </si>
  <si>
    <t>Scientific literature</t>
  </si>
  <si>
    <t>Assuming supplier is located in Europe, based on PEF scenario for "all other products - Truck"</t>
  </si>
  <si>
    <t>PEF guidance - default distances</t>
  </si>
  <si>
    <t>Assuming supplier is located in Europe, based on PEF scenario for "all other products - Train"</t>
  </si>
  <si>
    <t>Assuming supplier is located in Europe, based on PEF scenario for "all other products - Ship"</t>
  </si>
  <si>
    <t>Means</t>
  </si>
  <si>
    <t>From supplier to factory</t>
  </si>
  <si>
    <t>Truck</t>
  </si>
  <si>
    <t>Assuming supplier is located in Europe</t>
  </si>
  <si>
    <t>Train</t>
  </si>
  <si>
    <t>Ship</t>
  </si>
  <si>
    <t>Factory to final client</t>
  </si>
  <si>
    <t>Assuming a local (within EU) supply chain scenario</t>
  </si>
  <si>
    <t>Use phase data</t>
  </si>
  <si>
    <t>Task 3</t>
  </si>
  <si>
    <t>Annual water consumption</t>
  </si>
  <si>
    <t>Annual rinsing agent consumption</t>
  </si>
  <si>
    <t>Real life conditions</t>
  </si>
  <si>
    <t>Use phase Input</t>
  </si>
  <si>
    <t>On-mode: Consumption per cycle</t>
  </si>
  <si>
    <t>On-mode: No. of cycles / year</t>
  </si>
  <si>
    <t>#</t>
  </si>
  <si>
    <t>Standby-mode: Consumption per hour</t>
  </si>
  <si>
    <t>Standby-mode: No. of hours / year</t>
  </si>
  <si>
    <t>Time in low power modes per day * Number of working days per year</t>
  </si>
  <si>
    <t>Off-mode: Consumption per hour</t>
  </si>
  <si>
    <t>Off-mode: No. of hours / year</t>
  </si>
  <si>
    <t>Consumption of heat per cycle</t>
  </si>
  <si>
    <t>Including heat for water heating.</t>
  </si>
  <si>
    <t>Calculations based on specific heat for water 4.18 kJ/kg: https://www.thermexcel.com/english/tables/eau_atm.htm</t>
  </si>
  <si>
    <t>No. of cycles / year</t>
  </si>
  <si>
    <t>Avg. Heat Power Output</t>
  </si>
  <si>
    <t>kW</t>
  </si>
  <si>
    <t>No. of hours / year</t>
  </si>
  <si>
    <t>hrs.</t>
  </si>
  <si>
    <t>Efficiency (insert the value manually)</t>
  </si>
  <si>
    <t>Other impacts in the use phase</t>
  </si>
  <si>
    <t>Water use per cycle</t>
  </si>
  <si>
    <t>m3</t>
  </si>
  <si>
    <t>Annual water use</t>
  </si>
  <si>
    <t>Detergent per cycle</t>
  </si>
  <si>
    <t>Refrigerant 1 filling per machine</t>
  </si>
  <si>
    <t>From input data</t>
  </si>
  <si>
    <t>Direct emissions - if relevant</t>
  </si>
  <si>
    <t>Life Cycle Costing data</t>
  </si>
  <si>
    <t>LCC parameters</t>
  </si>
  <si>
    <t>Latest Annual sales</t>
  </si>
  <si>
    <t>Table 4-9: Stock in 2023 based on share of sales and lifespan (in grey) of each category</t>
  </si>
  <si>
    <t>Task 2</t>
  </si>
  <si>
    <t>Literature</t>
  </si>
  <si>
    <t>Average taken between different minimum and maximum prices (different resellers) and average taken between the average minimum and average maximum price</t>
  </si>
  <si>
    <t xml:space="preserve">Assumed the same as the value used for washing machines at SR1. </t>
  </si>
  <si>
    <t>JRC technical report: Analysis and development of a scoring system for repair and upgrade of products, page 113-115, https://publications.jrc.ec.europa.eu/repository/handle/JRC114337</t>
  </si>
  <si>
    <t>No data in current study.
2011 study: "The installation of the dishwashers is taken into account in the product price so that there are
no separate installation costs."</t>
  </si>
  <si>
    <t>Eurostat data: average price between 2 different consumption bands, average price in EU-27, semester 1 2024.</t>
  </si>
  <si>
    <t>Data point missing from report, so far taken from SR1</t>
  </si>
  <si>
    <t>Average price between 2 different consumption bands, average price in EU-27, semester 1 2024.</t>
  </si>
  <si>
    <t>4.5.2.1. Electricity costs
Tables 4-17 &amp; 4-18</t>
  </si>
  <si>
    <t>Average prices of water from EU members</t>
  </si>
  <si>
    <t>4.5.2.2. Water costs
Table 4-19</t>
  </si>
  <si>
    <t>"maintenance costs are 44% of the
initial purchase costs."</t>
  </si>
  <si>
    <t>Meerp Review</t>
  </si>
  <si>
    <t>MEErP review 2024, page 62</t>
  </si>
  <si>
    <t>Table 4-13: Ratio between energy consumption of new products and the average products in stock</t>
  </si>
  <si>
    <t>Table 4-21: Prices per litre of washing detergent and of rinsing agents</t>
  </si>
  <si>
    <t>Escalation rate calculations</t>
  </si>
  <si>
    <t>Escalation rate</t>
  </si>
  <si>
    <t>Annual amount (kWh, m3, kg)</t>
  </si>
  <si>
    <t>Annual costs</t>
  </si>
  <si>
    <t>Share</t>
  </si>
  <si>
    <t>Natural gas</t>
  </si>
  <si>
    <t>Heat (kWh) divided by 1.05 to account for efficiency of natural gas boiler (105%)</t>
  </si>
  <si>
    <r>
      <rPr>
        <b/>
        <sz val="11"/>
        <color theme="1"/>
        <rFont val="Aptos Narrow"/>
        <family val="2"/>
        <scheme val="minor"/>
      </rPr>
      <t xml:space="preserve">Weighted average </t>
    </r>
    <r>
      <rPr>
        <b/>
        <u/>
        <sz val="11"/>
        <color theme="1"/>
        <rFont val="Aptos Narrow"/>
        <family val="2"/>
        <scheme val="minor"/>
      </rPr>
      <t>escalation rate:</t>
    </r>
  </si>
  <si>
    <t>Remove red example!</t>
  </si>
  <si>
    <t>Assuming steel</t>
  </si>
  <si>
    <t>1m2=3.08kg, so 0.7 m2
Best dataset choice from tool options</t>
  </si>
  <si>
    <t>Number of workingdays per year</t>
  </si>
  <si>
    <t>Duration of the typically used washing program</t>
  </si>
  <si>
    <t>Rinsing agent per cycle</t>
  </si>
  <si>
    <t>Expert judgement</t>
  </si>
  <si>
    <t>Preparatory study, Table 4-16 "Observed end-user prices of professional dishwashers"</t>
  </si>
  <si>
    <t>Preparatory study: "4.5.3. Repair and Maintenance costs"</t>
  </si>
  <si>
    <t>Manual dataset - 300-Cast iron electric arc furnace route, from steel scrap, secondary production single route, at plant &gt; 2,06 % carbon content</t>
  </si>
  <si>
    <r>
      <t xml:space="preserve">On-mode: Consumption per </t>
    </r>
    <r>
      <rPr>
        <i/>
        <sz val="11"/>
        <color rgb="FFFF0000"/>
        <rFont val="Aptos Narrow"/>
        <family val="2"/>
        <scheme val="minor"/>
      </rPr>
      <t>hour</t>
    </r>
  </si>
  <si>
    <r>
      <t xml:space="preserve">On-mode: No. of </t>
    </r>
    <r>
      <rPr>
        <i/>
        <sz val="11"/>
        <color rgb="FFFF0000"/>
        <rFont val="Aptos Narrow"/>
        <family val="2"/>
        <scheme val="minor"/>
      </rPr>
      <t>hours</t>
    </r>
    <r>
      <rPr>
        <i/>
        <sz val="11"/>
        <color theme="1"/>
        <rFont val="Aptos Narrow"/>
        <family val="2"/>
        <scheme val="minor"/>
      </rPr>
      <t xml:space="preserve"> / year</t>
    </r>
  </si>
  <si>
    <r>
      <t xml:space="preserve">Consumption of heat per </t>
    </r>
    <r>
      <rPr>
        <b/>
        <i/>
        <sz val="11"/>
        <color rgb="FFFF0000"/>
        <rFont val="Aptos Narrow"/>
        <family val="2"/>
        <scheme val="minor"/>
      </rPr>
      <t>hour</t>
    </r>
  </si>
  <si>
    <r>
      <t xml:space="preserve">No. of </t>
    </r>
    <r>
      <rPr>
        <b/>
        <i/>
        <sz val="11"/>
        <color rgb="FFFF0000"/>
        <rFont val="Aptos Narrow"/>
        <family val="2"/>
        <scheme val="minor"/>
      </rPr>
      <t>hours</t>
    </r>
    <r>
      <rPr>
        <b/>
        <i/>
        <sz val="11"/>
        <color theme="1"/>
        <rFont val="Aptos Narrow"/>
        <family val="2"/>
        <scheme val="minor"/>
      </rPr>
      <t xml:space="preserve"> / year</t>
    </r>
  </si>
  <si>
    <r>
      <t xml:space="preserve">Water use per </t>
    </r>
    <r>
      <rPr>
        <sz val="11"/>
        <color rgb="FFFF0000"/>
        <rFont val="Aptos Narrow"/>
        <family val="2"/>
        <scheme val="minor"/>
      </rPr>
      <t>hour</t>
    </r>
  </si>
  <si>
    <r>
      <t xml:space="preserve">No. of </t>
    </r>
    <r>
      <rPr>
        <sz val="11"/>
        <color rgb="FFFF0000"/>
        <rFont val="Aptos Narrow"/>
        <family val="2"/>
        <scheme val="minor"/>
      </rPr>
      <t>hours</t>
    </r>
    <r>
      <rPr>
        <sz val="11"/>
        <color theme="1"/>
        <rFont val="Aptos Narrow"/>
        <family val="2"/>
        <scheme val="minor"/>
      </rPr>
      <t xml:space="preserve"> / year</t>
    </r>
  </si>
  <si>
    <r>
      <t xml:space="preserve">Detergent per </t>
    </r>
    <r>
      <rPr>
        <sz val="11"/>
        <color rgb="FFFF0000"/>
        <rFont val="Aptos Narrow"/>
        <family val="2"/>
        <scheme val="minor"/>
      </rPr>
      <t>hour</t>
    </r>
  </si>
  <si>
    <r>
      <t xml:space="preserve">Rinsing agent per </t>
    </r>
    <r>
      <rPr>
        <sz val="11"/>
        <color rgb="FFFF0000"/>
        <rFont val="Aptos Narrow"/>
        <family val="2"/>
        <scheme val="minor"/>
      </rPr>
      <t>hour</t>
    </r>
  </si>
  <si>
    <t>High quality</t>
  </si>
  <si>
    <t>No</t>
  </si>
  <si>
    <t>Medium quality</t>
  </si>
  <si>
    <t>Fair quality</t>
  </si>
  <si>
    <t>Medium</t>
  </si>
  <si>
    <t>After a meeting but still based on literature etc</t>
  </si>
  <si>
    <t>Googling</t>
  </si>
  <si>
    <t>Specific energy consumption (real-life)</t>
  </si>
  <si>
    <t>Specific water consumption (real-life)</t>
  </si>
  <si>
    <t>Specific rinsing agent consumption (real-life)</t>
  </si>
  <si>
    <t>Specific detergent consumption (real-life)</t>
  </si>
  <si>
    <t>Bill of Materials - Base Case</t>
  </si>
  <si>
    <t>Use phase data - Base Case</t>
  </si>
  <si>
    <t>Life Cycle Costing data - Base Case</t>
  </si>
  <si>
    <t>Exhaust air heat pump</t>
  </si>
  <si>
    <t xml:space="preserve">Design option 
DO1 </t>
  </si>
  <si>
    <t>Design option 
DO2</t>
  </si>
  <si>
    <t>Design option 
DO3</t>
  </si>
  <si>
    <t>Design option 
DO4</t>
  </si>
  <si>
    <t>Design option 
DO5</t>
  </si>
  <si>
    <t>Design option 
DO6</t>
  </si>
  <si>
    <t xml:space="preserve">Design option 
DO-01 </t>
  </si>
  <si>
    <t>Design option 
DO-02</t>
  </si>
  <si>
    <t>Design option 
DO-03</t>
  </si>
  <si>
    <t>Design option 
DO-04</t>
  </si>
  <si>
    <t>Design option 
DO-05</t>
  </si>
  <si>
    <t>Design option 
DO-06</t>
  </si>
  <si>
    <t>Design option DO-01</t>
  </si>
  <si>
    <t>DO-01</t>
  </si>
  <si>
    <t>DO-02</t>
  </si>
  <si>
    <t>DO-03</t>
  </si>
  <si>
    <t>DO-04</t>
  </si>
  <si>
    <t>DO-05</t>
  </si>
  <si>
    <t>DO-06</t>
  </si>
  <si>
    <t>Design option DO-02</t>
  </si>
  <si>
    <t>Design option DO-03</t>
  </si>
  <si>
    <t>Design option DO-04</t>
  </si>
  <si>
    <t>Design option DO-05</t>
  </si>
  <si>
    <t>Design option DO-06</t>
  </si>
  <si>
    <t>combination possible</t>
  </si>
  <si>
    <t xml:space="preserve">combination limited </t>
  </si>
  <si>
    <t>combination not possible</t>
  </si>
  <si>
    <t>Your comments</t>
  </si>
  <si>
    <t>Percentage compared 
to 100% reference</t>
  </si>
  <si>
    <t>Product including all possible design options</t>
  </si>
  <si>
    <t xml:space="preserve">Design option no. </t>
  </si>
  <si>
    <t xml:space="preserve">Short title </t>
  </si>
  <si>
    <t xml:space="preserve">Description of the design option </t>
  </si>
  <si>
    <t>Consumption data (under real-life conditions)*</t>
  </si>
  <si>
    <t>* real-life conditions include partial loads, mixed programme selection, maloperation, manual pre-rinse, initial filling and heating of wash tanks, two working shifts with two tank fills and heating of wash tanks, and low power modes</t>
  </si>
  <si>
    <t xml:space="preserve">per cycle </t>
  </si>
  <si>
    <t>kWh/cycle</t>
  </si>
  <si>
    <t>litres/cycle</t>
  </si>
  <si>
    <t>g/cycle</t>
  </si>
  <si>
    <t>ESPR Preparatory Study and Impact Assessment support study on professional dishwashers</t>
  </si>
  <si>
    <t xml:space="preserve">Please fill in the light yellow cells </t>
  </si>
  <si>
    <t xml:space="preserve">Technical applicability of proposed design options and potential for combinations </t>
  </si>
  <si>
    <t>Design option technically applicable to Base Case BC1?</t>
  </si>
  <si>
    <t>Please indicate for the proposed design options, if they will lead to significant changes in the consumption values compared to a Base Case without such option (reference = 100%; increases: e.g. 105%; decreases: e.g. 95%)</t>
  </si>
  <si>
    <t>Please indicate for the proposed design options, if they will lead to significant changes in the BoM compared to a Base Case without such option (reference = 100%; increases: e.g. 105%; decreases: e.g. 95%)</t>
  </si>
  <si>
    <t>Please indicate for the proposed design options, if they will lead to significant changes in the purchase price or average expected lifetime compared to a Base Case without such option (reference = 100%; increases: e.g. 105%; decreases: e.g. 95%)</t>
  </si>
  <si>
    <r>
      <t xml:space="preserve">Please indicate if / which of the proposed design options are technically </t>
    </r>
    <r>
      <rPr>
        <u/>
        <sz val="12"/>
        <color rgb="FFFF0000"/>
        <rFont val="Aptos Narrow"/>
        <family val="2"/>
        <scheme val="minor"/>
      </rPr>
      <t>applicable</t>
    </r>
    <r>
      <rPr>
        <sz val="12"/>
        <color rgb="FFFF0000"/>
        <rFont val="Aptos Narrow"/>
        <family val="2"/>
        <scheme val="minor"/>
      </rPr>
      <t xml:space="preserve"> to this Base Case and which of them are technically </t>
    </r>
    <r>
      <rPr>
        <u/>
        <sz val="12"/>
        <color rgb="FFFF0000"/>
        <rFont val="Aptos Narrow"/>
        <family val="2"/>
        <scheme val="minor"/>
      </rPr>
      <t>combinable</t>
    </r>
    <r>
      <rPr>
        <sz val="12"/>
        <color rgb="FFFF0000"/>
        <rFont val="Aptos Narrow"/>
        <family val="2"/>
        <scheme val="minor"/>
      </rPr>
      <t xml:space="preserve"> or not. </t>
    </r>
  </si>
  <si>
    <t>Life Cycle Assessment  and Life Cycle Costing input tables for Design options (MEErP Task 6)</t>
  </si>
  <si>
    <t>DO-07</t>
  </si>
  <si>
    <t>Design option DO-07</t>
  </si>
  <si>
    <t>Design option 
DO-07</t>
  </si>
  <si>
    <t>Modular design and reuse of electronics</t>
  </si>
  <si>
    <t xml:space="preserve">Improved thermal insulation (double-walled design) </t>
  </si>
  <si>
    <t>Further substitution  of metals by polymers</t>
  </si>
  <si>
    <t>Exhaust heat recovery (regenerator)</t>
  </si>
  <si>
    <t>Automatic programme for load and soil recognition</t>
  </si>
  <si>
    <t>The working hypothesis for this design option is that an additional material requirement of 25-50 kg (mainly stainless steel, copper and aluminium) can save approx. 15% of the total electricity demand.</t>
  </si>
  <si>
    <t>The integration of a heat pump in a commercial dishwasher reclaims heat from exhaust air to preheat water. The design option can improve energy efficiency and enhance indoor air quality by reducing steam discharge. However, the system increases resource use during manufacturing as it requires additional materials like a compressor, evaporator, condenser, and refrigerant circuit.</t>
  </si>
  <si>
    <t>The working hypothesis for this design option is that 40% of the total electronics (i.e. mainly control boards and power supplies) can be reused and therefore do not need to be produced.</t>
  </si>
  <si>
    <t>Working hypothesis on additional material demand and savings potentials</t>
  </si>
  <si>
    <r>
      <rPr>
        <b/>
        <sz val="14"/>
        <color rgb="FF000000"/>
        <rFont val="Calibri"/>
        <family val="2"/>
      </rPr>
      <t xml:space="preserve">Background for MEErP Task 6 </t>
    </r>
    <r>
      <rPr>
        <sz val="11"/>
        <color indexed="8"/>
        <rFont val="Calibri"/>
        <family val="2"/>
      </rPr>
      <t xml:space="preserve">
</t>
    </r>
    <r>
      <rPr>
        <u/>
        <sz val="11"/>
        <color rgb="FF000000"/>
        <rFont val="Calibri"/>
        <family val="2"/>
      </rPr>
      <t>MEErP Task 6</t>
    </r>
    <r>
      <rPr>
        <sz val="11"/>
        <color indexed="8"/>
        <rFont val="Calibri"/>
        <family val="2"/>
      </rPr>
      <t xml:space="preserve"> aims to analyse the most important and appropriate (aggregated clusters of) design options for commercial dishwashers as identified and described in MEErP Task 4. 
The results of the life cycle assessment undertaken in the </t>
    </r>
    <r>
      <rPr>
        <u/>
        <sz val="11"/>
        <color rgb="FF000000"/>
        <rFont val="Calibri"/>
        <family val="2"/>
      </rPr>
      <t>previous MEErP Task 5</t>
    </r>
    <r>
      <rPr>
        <sz val="11"/>
        <color indexed="8"/>
        <rFont val="Calibri"/>
        <family val="2"/>
      </rPr>
      <t xml:space="preserve"> indicate that the majority of the environmental impact of commercial dishwashers across all analysed base cases originates from the </t>
    </r>
    <r>
      <rPr>
        <b/>
        <sz val="11"/>
        <color rgb="FF000000"/>
        <rFont val="Calibri"/>
        <family val="2"/>
      </rPr>
      <t>use phase</t>
    </r>
    <r>
      <rPr>
        <sz val="11"/>
        <color indexed="8"/>
        <rFont val="Calibri"/>
        <family val="2"/>
      </rPr>
      <t xml:space="preserve"> on the one hand, and the </t>
    </r>
    <r>
      <rPr>
        <b/>
        <sz val="11"/>
        <color rgb="FF000000"/>
        <rFont val="Calibri"/>
        <family val="2"/>
      </rPr>
      <t>raw material stage</t>
    </r>
    <r>
      <rPr>
        <sz val="11"/>
        <color indexed="8"/>
        <rFont val="Calibri"/>
        <family val="2"/>
      </rPr>
      <t xml:space="preserve"> on the other hand. Specifically, in the use phase, </t>
    </r>
    <r>
      <rPr>
        <b/>
        <sz val="11"/>
        <color rgb="FF000000"/>
        <rFont val="Calibri"/>
        <family val="2"/>
      </rPr>
      <t>electricity and water consumption</t>
    </r>
    <r>
      <rPr>
        <sz val="11"/>
        <color indexed="8"/>
        <rFont val="Calibri"/>
        <family val="2"/>
      </rPr>
      <t xml:space="preserve"> are the largest contributors across most impact categories. </t>
    </r>
    <r>
      <rPr>
        <b/>
        <sz val="11"/>
        <color rgb="FF000000"/>
        <rFont val="Calibri"/>
        <family val="2"/>
      </rPr>
      <t>Electronics</t>
    </r>
    <r>
      <rPr>
        <sz val="11"/>
        <color indexed="8"/>
        <rFont val="Calibri"/>
        <family val="2"/>
      </rPr>
      <t xml:space="preserve"> used in the production of the controller board are the most significant contributors to overall impact categories. Additionally, </t>
    </r>
    <r>
      <rPr>
        <b/>
        <sz val="11"/>
        <color rgb="FF000000"/>
        <rFont val="Calibri"/>
        <family val="2"/>
      </rPr>
      <t>stainless steel</t>
    </r>
    <r>
      <rPr>
        <sz val="11"/>
        <color indexed="8"/>
        <rFont val="Calibri"/>
        <family val="2"/>
      </rPr>
      <t xml:space="preserve"> is identified as a major contributor across various impact categories, followed by </t>
    </r>
    <r>
      <rPr>
        <b/>
        <sz val="11"/>
        <color rgb="FF000000"/>
        <rFont val="Calibri"/>
        <family val="2"/>
      </rPr>
      <t>polypropylene</t>
    </r>
    <r>
      <rPr>
        <sz val="11"/>
        <color indexed="8"/>
        <rFont val="Calibri"/>
        <family val="2"/>
      </rPr>
      <t xml:space="preserve"> and </t>
    </r>
    <r>
      <rPr>
        <b/>
        <sz val="11"/>
        <color rgb="FF000000"/>
        <rFont val="Calibri"/>
        <family val="2"/>
      </rPr>
      <t>copper</t>
    </r>
    <r>
      <rPr>
        <sz val="11"/>
        <color indexed="8"/>
        <rFont val="Calibri"/>
        <family val="2"/>
      </rPr>
      <t xml:space="preserve">. The life cycle costing assessment has identified electricity and </t>
    </r>
    <r>
      <rPr>
        <b/>
        <sz val="11"/>
        <color rgb="FF000000"/>
        <rFont val="Calibri"/>
        <family val="2"/>
      </rPr>
      <t>detergent use</t>
    </r>
    <r>
      <rPr>
        <sz val="11"/>
        <color indexed="8"/>
        <rFont val="Calibri"/>
        <family val="2"/>
      </rPr>
      <t xml:space="preserve"> as the highest contributors for all base cases. 
</t>
    </r>
    <r>
      <rPr>
        <sz val="11"/>
        <rFont val="Calibri"/>
        <family val="2"/>
      </rPr>
      <t xml:space="preserve">The </t>
    </r>
    <r>
      <rPr>
        <b/>
        <sz val="11"/>
        <rFont val="Calibri"/>
        <family val="2"/>
      </rPr>
      <t>aim of this consultation</t>
    </r>
    <r>
      <rPr>
        <sz val="11"/>
        <rFont val="Calibri"/>
        <family val="2"/>
      </rPr>
      <t xml:space="preserve"> is to obtain information from manufacturers on </t>
    </r>
    <r>
      <rPr>
        <b/>
        <sz val="11"/>
        <rFont val="Calibri"/>
        <family val="2"/>
      </rPr>
      <t>whether and where the proposed design options significantly affect or change the LCA input values of the base cases</t>
    </r>
    <r>
      <rPr>
        <sz val="11"/>
        <rFont val="Calibri"/>
        <family val="2"/>
      </rPr>
      <t>, i.e. how the Bill of Materials (BoM) changes, what changes occur in consumption data (energy, water and detergent consumption) and how the design option affects the average purchase price and lifetime. Feedback is also sought on the potential for combining certain design options and the changes/impacts of a maximum combination.</t>
    </r>
    <r>
      <rPr>
        <b/>
        <sz val="14"/>
        <color indexed="8"/>
        <rFont val="Calibri"/>
        <family val="2"/>
      </rPr>
      <t xml:space="preserve">
</t>
    </r>
  </si>
  <si>
    <t>Exhaust heat recovery captures waste heat from steam or hot exhaust gases to preheat incoming water. This design option can improve energy efficiency and kitchen air quality (through steam condensation). However, the system increases resource use during manufacturing as it requires additional materials such as a heat exchanger (recuperator), piping, and insulation.</t>
  </si>
  <si>
    <t>An automatic load and soil detection programme adjusts water, energy and detergent use based on load size and soil level. This design option can improve energy efficiency and reduce water and detergent consumption. However, the system increases resource use during manufacturing as it requires additional materials such as sensors, control units, and software integration.</t>
  </si>
  <si>
    <t>The working hypothesis for this design option is that an additional 1 kg of electronics can save 25% of the total demand for electricity, water and detergent, respectively, with an increase in purchase costs of around 20%.</t>
  </si>
  <si>
    <t>Improved thermal insulation through double wall design reduces heat loss by creating an insulating air gap between the inner and outer walls. This design option can improve energy efficiency and workplace comfort by minimising external heat radiation. However, the system increases the use of resources during manufacture as it requires additional materials such as stainless steel sheets, insulation layers and sealing components.</t>
  </si>
  <si>
    <t>The working hypothesis for this design option is that an additional material use of approx. 15 kg stainless steel (additional wall) and approx. 3 kg polyurethane (insulation material between the two walls) can save 15% of the total electricity demand. The additional material requirements apply to category 1 and 2 dishwashers. For larger appliances, proportionally higher values have to be assumed.</t>
  </si>
  <si>
    <t>Substitution of metal components with polymers (such as PP and ABS) reduces overall weight, and can improve durability by providing superior chemical and corrosion resistance in harsh environments. This substitution offers environmental benefits, including a reduced carbon footprint due to the lower environmental impact of manufacturing polymer materials (compared to metals) and a potentially longer service life of the commercial dishwasher.</t>
  </si>
  <si>
    <t>As a working hypothesis for this design option, it is assumed that 10% of the metallic materials (mainly stainless steel and copper in equal proportions) can be replaced by PP.</t>
  </si>
  <si>
    <t>Modular design with replaceable electronic modules (e.g. control boards, power supplies) allows for targeted upgrades and repairs without replacing the entire dishwasher. This design option can reduce raw material consumption and the carbon footprint associated with manufacturing new electronics. In addition, standardised modules can simplify repairs and maintenance and potentially extend the life of the commercial dishwasher. However, initial implementation may require additional design effort and durable connectors to ensure long-term reliability.</t>
  </si>
  <si>
    <t>Integrating a heat pump into a commercial dishwasher recovers and upgrades heat from the exhaust air to preheat water. This design option can improve energy efficiency and indoor air quality by reducing water vapour emissions. However, the system increases resource use during manufacturing as it requires additional materials such as a compressor, evaporator, condenser and refrigerant circuit.</t>
  </si>
  <si>
    <t xml:space="preserve">Your comments on the working hypothesis </t>
  </si>
  <si>
    <t>Please insert a short title in the left cell
Please provide here a brief description of the sustainability benefits and any additional effort required</t>
  </si>
  <si>
    <t xml:space="preserve">Other relevant design option (stakeholder input)
</t>
  </si>
  <si>
    <r>
      <rPr>
        <sz val="11"/>
        <color rgb="FF000000"/>
        <rFont val="Calibri"/>
        <family val="2"/>
      </rPr>
      <t xml:space="preserve">A </t>
    </r>
    <r>
      <rPr>
        <b/>
        <sz val="11"/>
        <color rgb="FF000000"/>
        <rFont val="Calibri"/>
        <family val="2"/>
      </rPr>
      <t>description of the six proposed design options</t>
    </r>
    <r>
      <rPr>
        <sz val="11"/>
        <color rgb="FF000000"/>
        <rFont val="Calibri"/>
        <family val="2"/>
      </rPr>
      <t xml:space="preserve"> can be found in the spreadsheet "Design options". </t>
    </r>
    <r>
      <rPr>
        <b/>
        <sz val="11"/>
        <color rgb="FF000000"/>
        <rFont val="Calibri"/>
        <family val="2"/>
      </rPr>
      <t>Working hypotheses on additional material requirements and potential savings</t>
    </r>
    <r>
      <rPr>
        <sz val="11"/>
        <color rgb="FF000000"/>
        <rFont val="Calibri"/>
        <family val="2"/>
      </rPr>
      <t xml:space="preserve"> for each design option are also provided. </t>
    </r>
    <r>
      <rPr>
        <b/>
        <sz val="11"/>
        <color rgb="FF000000"/>
        <rFont val="Calibri"/>
        <family val="2"/>
      </rPr>
      <t>Comments on the validity of the assumptions</t>
    </r>
    <r>
      <rPr>
        <sz val="11"/>
        <color rgb="FF000000"/>
        <rFont val="Calibri"/>
        <family val="2"/>
      </rPr>
      <t xml:space="preserve"> made in the working hypotheses can be noted in the corresponding column. If </t>
    </r>
    <r>
      <rPr>
        <b/>
        <sz val="11"/>
        <color rgb="FF000000"/>
        <rFont val="Calibri"/>
        <family val="2"/>
      </rPr>
      <t>additional design options</t>
    </r>
    <r>
      <rPr>
        <sz val="11"/>
        <color rgb="FF000000"/>
        <rFont val="Calibri"/>
        <family val="2"/>
      </rPr>
      <t xml:space="preserve"> should be considered, please state and specify it under "DO-07"</t>
    </r>
    <r>
      <rPr>
        <b/>
        <sz val="14"/>
        <color indexed="8"/>
        <rFont val="Calibri"/>
        <family val="2"/>
      </rPr>
      <t xml:space="preserve">.
</t>
    </r>
    <r>
      <rPr>
        <sz val="11"/>
        <color rgb="FF000000"/>
        <rFont val="Calibri"/>
        <family val="2"/>
      </rPr>
      <t xml:space="preserve">Subsequently, please provide </t>
    </r>
    <r>
      <rPr>
        <b/>
        <sz val="11"/>
        <color rgb="FF000000"/>
        <rFont val="Calibri"/>
        <family val="2"/>
      </rPr>
      <t>information for each of the design options</t>
    </r>
    <r>
      <rPr>
        <sz val="11"/>
        <color rgb="FF000000"/>
        <rFont val="Calibri"/>
        <family val="2"/>
      </rPr>
      <t xml:space="preserve"> in the spreadsheets for the </t>
    </r>
    <r>
      <rPr>
        <b/>
        <sz val="11"/>
        <color rgb="FF000000"/>
        <rFont val="Calibri"/>
        <family val="2"/>
      </rPr>
      <t>individual dishwasher categories (BC1-BC6)</t>
    </r>
    <r>
      <rPr>
        <sz val="11"/>
        <color rgb="FF000000"/>
        <rFont val="Calibri"/>
        <family val="2"/>
      </rPr>
      <t xml:space="preserve"> on the following </t>
    </r>
    <r>
      <rPr>
        <b/>
        <sz val="11"/>
        <color rgb="FF000000"/>
        <rFont val="Calibri"/>
        <family val="2"/>
      </rPr>
      <t>aspects:</t>
    </r>
    <r>
      <rPr>
        <b/>
        <sz val="14"/>
        <color indexed="8"/>
        <rFont val="Calibri"/>
        <family val="2"/>
      </rPr>
      <t xml:space="preserve">
</t>
    </r>
    <r>
      <rPr>
        <sz val="11"/>
        <color rgb="FF000000"/>
        <rFont val="Calibri"/>
        <family val="2"/>
      </rPr>
      <t xml:space="preserve">• </t>
    </r>
    <r>
      <rPr>
        <b/>
        <sz val="11"/>
        <color rgb="FF000000"/>
        <rFont val="Calibri"/>
        <family val="2"/>
      </rPr>
      <t>Technical applicability / combinability of the proposed design options</t>
    </r>
    <r>
      <rPr>
        <sz val="11"/>
        <color rgb="FF000000"/>
        <rFont val="Calibri"/>
        <family val="2"/>
      </rPr>
      <t xml:space="preserve">
• </t>
    </r>
    <r>
      <rPr>
        <b/>
        <sz val="11"/>
        <color rgb="FF000000"/>
        <rFont val="Calibri"/>
        <family val="2"/>
      </rPr>
      <t xml:space="preserve">Changes in the Bill of Material </t>
    </r>
    <r>
      <rPr>
        <sz val="11"/>
        <color rgb="FF000000"/>
        <rFont val="Calibri"/>
        <family val="2"/>
      </rPr>
      <t>compared to a Base Case without design option</t>
    </r>
    <r>
      <rPr>
        <b/>
        <sz val="14"/>
        <color indexed="8"/>
        <rFont val="Calibri"/>
        <family val="2"/>
      </rPr>
      <t xml:space="preserve">
</t>
    </r>
    <r>
      <rPr>
        <sz val="11"/>
        <color rgb="FF000000"/>
        <rFont val="Calibri"/>
        <family val="2"/>
      </rPr>
      <t xml:space="preserve">• </t>
    </r>
    <r>
      <rPr>
        <b/>
        <sz val="11"/>
        <color rgb="FF000000"/>
        <rFont val="Calibri"/>
        <family val="2"/>
      </rPr>
      <t>Changes in the consumption values</t>
    </r>
    <r>
      <rPr>
        <sz val="11"/>
        <color rgb="FF000000"/>
        <rFont val="Calibri"/>
        <family val="2"/>
      </rPr>
      <t xml:space="preserve"> of the use phase compared to a Base Case without design option
• </t>
    </r>
    <r>
      <rPr>
        <b/>
        <sz val="11"/>
        <color rgb="FF000000"/>
        <rFont val="Calibri"/>
        <family val="2"/>
      </rPr>
      <t>Changes in the purchase pric</t>
    </r>
    <r>
      <rPr>
        <sz val="11"/>
        <color rgb="FF000000"/>
        <rFont val="Calibri"/>
        <family val="2"/>
      </rPr>
      <t xml:space="preserve">e or average expected lifetime compared to a Base Case without such option
With regard to the changes in the Bill of Material as well as the consumption value of the use phase, the </t>
    </r>
    <r>
      <rPr>
        <b/>
        <sz val="11"/>
        <color rgb="FF000000"/>
        <rFont val="Calibri"/>
        <family val="2"/>
      </rPr>
      <t>assumptions</t>
    </r>
    <r>
      <rPr>
        <sz val="11"/>
        <color rgb="FF000000"/>
        <rFont val="Calibri"/>
        <family val="2"/>
      </rPr>
      <t xml:space="preserve"> in the respective working hypotheses can be </t>
    </r>
    <r>
      <rPr>
        <b/>
        <sz val="11"/>
        <color rgb="FF000000"/>
        <rFont val="Calibri"/>
        <family val="2"/>
      </rPr>
      <t>taken into account and substantiated or adjusted</t>
    </r>
    <r>
      <rPr>
        <sz val="11"/>
        <color rgb="FF000000"/>
        <rFont val="Calibri"/>
        <family val="2"/>
      </rPr>
      <t>, if 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</si>
</sst>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quot;_-;\-* #,##0.00\ &quot;€&quot;_-;_-* &quot;-&quot;??\ &quot;€&quot;_-;_-@_-"/>
    <numFmt numFmtId="43" formatCode="_-* #,##0.00_-;\-* #,##0.00_-;_-* &quot;-&quot;??_-;_-@_-"/>
    <numFmt numFmtId="164" formatCode="0.000"/>
    <numFmt numFmtId="165" formatCode="0.0"/>
    <numFmt numFmtId="166" formatCode="0.0%"/>
    <numFmt numFmtId="167" formatCode="h:mm:ss;@"/>
    <numFmt numFmtId="168" formatCode="[h]:mm"/>
    <numFmt numFmtId="169" formatCode="_-* #,##0_-;\-* #,##0_-;_-* &quot;-&quot;??_-;_-@_-"/>
    <numFmt numFmtId="170" formatCode="#,##0.00_ ;\-#,##0.00\ "/>
    <numFmt numFmtId="171" formatCode="0.0000"/>
    <numFmt numFmtId="172" formatCode="0.00000"/>
    <numFmt numFmtId="173" formatCode="0.000000"/>
    <numFmt numFmtId="174" formatCode="#,##0.000000"/>
    <numFmt numFmtId="175" formatCode="0.000000000"/>
  </numFmts>
  <fonts count="56">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sz val="10"/>
      <name val="Arial"/>
      <family val="2"/>
    </font>
    <font>
      <i/>
      <sz val="11"/>
      <color theme="1"/>
      <name val="Aptos Narrow"/>
      <family val="2"/>
      <scheme val="minor"/>
    </font>
    <font>
      <sz val="11"/>
      <color rgb="FFFF0000"/>
      <name val="Aptos Narrow"/>
      <family val="2"/>
      <scheme val="minor"/>
    </font>
    <font>
      <b/>
      <sz val="16"/>
      <color theme="1"/>
      <name val="Aptos Narrow"/>
      <family val="2"/>
      <scheme val="minor"/>
    </font>
    <font>
      <b/>
      <sz val="18"/>
      <color theme="1"/>
      <name val="Aptos Narrow"/>
      <family val="2"/>
      <scheme val="minor"/>
    </font>
    <font>
      <b/>
      <i/>
      <sz val="11"/>
      <color theme="1"/>
      <name val="Aptos Narrow"/>
      <family val="2"/>
      <scheme val="minor"/>
    </font>
    <font>
      <sz val="11"/>
      <name val="Aptos Narrow"/>
      <family val="2"/>
      <scheme val="minor"/>
    </font>
    <font>
      <sz val="11"/>
      <color rgb="FF000000"/>
      <name val="Aptos Narrow"/>
      <family val="2"/>
      <scheme val="minor"/>
    </font>
    <font>
      <sz val="11"/>
      <color theme="1"/>
      <name val="Symbol"/>
      <family val="1"/>
      <charset val="2"/>
    </font>
    <font>
      <b/>
      <sz val="11"/>
      <name val="Aptos Narrow"/>
      <family val="2"/>
      <scheme val="minor"/>
    </font>
    <font>
      <i/>
      <sz val="11"/>
      <color rgb="FFFF0000"/>
      <name val="Aptos Narrow"/>
      <family val="2"/>
      <scheme val="minor"/>
    </font>
    <font>
      <sz val="8"/>
      <name val="Aptos Narrow"/>
      <family val="2"/>
      <scheme val="minor"/>
    </font>
    <font>
      <b/>
      <sz val="11"/>
      <color rgb="FFFF0000"/>
      <name val="Aptos Narrow"/>
      <family val="2"/>
      <scheme val="minor"/>
    </font>
    <font>
      <b/>
      <sz val="11"/>
      <color theme="7"/>
      <name val="Aptos Narrow"/>
      <family val="2"/>
      <scheme val="minor"/>
    </font>
    <font>
      <b/>
      <sz val="11"/>
      <color rgb="FF000000"/>
      <name val="Aptos Narrow"/>
      <family val="2"/>
      <scheme val="minor"/>
    </font>
    <font>
      <b/>
      <sz val="11"/>
      <color theme="1"/>
      <name val="Calibri"/>
      <family val="2"/>
    </font>
    <font>
      <sz val="11"/>
      <color theme="1"/>
      <name val="Calibri"/>
      <family val="2"/>
    </font>
    <font>
      <sz val="11"/>
      <color rgb="FFFF0000"/>
      <name val="Calibri"/>
      <family val="2"/>
    </font>
    <font>
      <i/>
      <sz val="11"/>
      <color theme="1"/>
      <name val="Calibri"/>
      <family val="2"/>
    </font>
    <font>
      <i/>
      <sz val="11"/>
      <color rgb="FFFF0000"/>
      <name val="Calibri"/>
      <family val="2"/>
    </font>
    <font>
      <b/>
      <i/>
      <sz val="11"/>
      <color theme="1"/>
      <name val="Calibri"/>
      <family val="2"/>
    </font>
    <font>
      <sz val="9"/>
      <color rgb="FF000000"/>
      <name val="Arial"/>
      <family val="2"/>
    </font>
    <font>
      <u/>
      <sz val="11"/>
      <color theme="1"/>
      <name val="Calibri"/>
      <family val="2"/>
    </font>
    <font>
      <sz val="9"/>
      <color indexed="81"/>
      <name val="Segoe UI"/>
      <charset val="1"/>
    </font>
    <font>
      <b/>
      <sz val="9"/>
      <color indexed="81"/>
      <name val="Segoe UI"/>
      <charset val="1"/>
    </font>
    <font>
      <b/>
      <sz val="11"/>
      <color theme="8" tint="0.39997558519241921"/>
      <name val="Calibri"/>
      <family val="2"/>
    </font>
    <font>
      <sz val="11"/>
      <name val="Calibri"/>
      <family val="2"/>
    </font>
    <font>
      <sz val="11"/>
      <color theme="1"/>
      <name val="Arial"/>
      <family val="2"/>
    </font>
    <font>
      <sz val="9"/>
      <color indexed="81"/>
      <name val="Segoe UI"/>
      <family val="2"/>
    </font>
    <font>
      <b/>
      <sz val="9"/>
      <color indexed="81"/>
      <name val="Segoe UI"/>
      <family val="2"/>
    </font>
    <font>
      <sz val="11"/>
      <color theme="0" tint="-0.14999847407452621"/>
      <name val="Calibri"/>
      <family val="2"/>
    </font>
    <font>
      <b/>
      <sz val="11"/>
      <color theme="0" tint="-0.14999847407452621"/>
      <name val="Calibri"/>
      <family val="2"/>
    </font>
    <font>
      <i/>
      <sz val="11"/>
      <color theme="0" tint="-0.14999847407452621"/>
      <name val="Calibri"/>
      <family val="2"/>
    </font>
    <font>
      <sz val="11"/>
      <color theme="0" tint="-0.14999847407452621"/>
      <name val="Aptos Narrow"/>
      <family val="2"/>
      <scheme val="minor"/>
    </font>
    <font>
      <sz val="9"/>
      <name val="Arial"/>
      <family val="2"/>
    </font>
    <font>
      <sz val="11"/>
      <color theme="0" tint="-0.499984740745262"/>
      <name val="Calibri"/>
      <family val="2"/>
    </font>
    <font>
      <b/>
      <u/>
      <sz val="11"/>
      <color theme="1"/>
      <name val="Aptos Narrow"/>
      <family val="2"/>
      <scheme val="minor"/>
    </font>
    <font>
      <b/>
      <i/>
      <sz val="11"/>
      <color rgb="FFFF0000"/>
      <name val="Aptos Narrow"/>
      <family val="2"/>
      <scheme val="minor"/>
    </font>
    <font>
      <sz val="11"/>
      <color indexed="8"/>
      <name val="Calibri"/>
      <family val="2"/>
    </font>
    <font>
      <b/>
      <sz val="16"/>
      <color indexed="8"/>
      <name val="Calibri"/>
      <family val="2"/>
    </font>
    <font>
      <b/>
      <sz val="14"/>
      <color indexed="8"/>
      <name val="Calibri"/>
      <family val="2"/>
    </font>
    <font>
      <b/>
      <sz val="14"/>
      <color rgb="FF000000"/>
      <name val="Calibri"/>
      <family val="2"/>
    </font>
    <font>
      <i/>
      <sz val="9"/>
      <color theme="1"/>
      <name val="Aptos Narrow"/>
      <family val="2"/>
      <scheme val="minor"/>
    </font>
    <font>
      <sz val="10"/>
      <color theme="1"/>
      <name val="Aptos Narrow"/>
      <family val="2"/>
      <scheme val="minor"/>
    </font>
    <font>
      <b/>
      <sz val="11"/>
      <color rgb="FF000000"/>
      <name val="Calibri"/>
      <family val="2"/>
    </font>
    <font>
      <u/>
      <sz val="11"/>
      <color rgb="FF000000"/>
      <name val="Calibri"/>
      <family val="2"/>
    </font>
    <font>
      <b/>
      <sz val="11"/>
      <name val="Calibri"/>
      <family val="2"/>
    </font>
    <font>
      <b/>
      <sz val="14"/>
      <color rgb="FFFF0000"/>
      <name val="Aptos Narrow"/>
      <family val="2"/>
      <scheme val="minor"/>
    </font>
    <font>
      <sz val="12"/>
      <color rgb="FFFF0000"/>
      <name val="Aptos Narrow"/>
      <family val="2"/>
      <scheme val="minor"/>
    </font>
    <font>
      <u/>
      <sz val="12"/>
      <color rgb="FFFF0000"/>
      <name val="Aptos Narrow"/>
      <family val="2"/>
      <scheme val="minor"/>
    </font>
    <font>
      <sz val="11"/>
      <color rgb="FF000000"/>
      <name val="Calibri"/>
      <family val="2"/>
    </font>
    <font>
      <b/>
      <sz val="14"/>
      <color indexed="8"/>
      <name val="Calibri"/>
    </font>
  </fonts>
  <fills count="22">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3" tint="0.89999084444715716"/>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9"/>
        <bgColor indexed="64"/>
      </patternFill>
    </fill>
    <fill>
      <patternFill patternType="solid">
        <fgColor rgb="FFFFFF00"/>
        <bgColor indexed="64"/>
      </patternFill>
    </fill>
    <fill>
      <patternFill patternType="solid">
        <fgColor theme="3" tint="0.74999237037263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rgb="FFFBFFC3"/>
        <bgColor indexed="64"/>
      </patternFill>
    </fill>
  </fills>
  <borders count="82">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medium">
        <color indexed="64"/>
      </right>
      <top style="medium">
        <color rgb="FF000000"/>
      </top>
      <bottom style="thin">
        <color indexed="64"/>
      </bottom>
      <diagonal/>
    </border>
    <border>
      <left style="medium">
        <color indexed="64"/>
      </left>
      <right style="medium">
        <color indexed="64"/>
      </right>
      <top style="medium">
        <color rgb="FF000000"/>
      </top>
      <bottom style="thin">
        <color indexed="64"/>
      </bottom>
      <diagonal/>
    </border>
    <border>
      <left style="medium">
        <color indexed="64"/>
      </left>
      <right style="medium">
        <color rgb="FF000000"/>
      </right>
      <top style="medium">
        <color rgb="FF000000"/>
      </top>
      <bottom style="thin">
        <color indexed="64"/>
      </bottom>
      <diagonal/>
    </border>
    <border>
      <left style="medium">
        <color rgb="FF000000"/>
      </left>
      <right style="medium">
        <color indexed="64"/>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diagonal/>
    </border>
    <border>
      <left style="medium">
        <color indexed="64"/>
      </left>
      <right style="medium">
        <color rgb="FF000000"/>
      </right>
      <top style="thin">
        <color indexed="64"/>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xf numFmtId="0" fontId="1" fillId="3" borderId="8" applyNumberFormat="0" applyFont="0" applyAlignment="0" applyProtection="0"/>
    <xf numFmtId="43" fontId="1" fillId="0" borderId="0" applyFont="0" applyFill="0" applyBorder="0" applyAlignment="0" applyProtection="0"/>
    <xf numFmtId="44" fontId="1" fillId="0" borderId="0" applyFont="0" applyFill="0" applyBorder="0" applyAlignment="0" applyProtection="0"/>
    <xf numFmtId="0" fontId="42" fillId="0" borderId="0"/>
  </cellStyleXfs>
  <cellXfs count="710">
    <xf numFmtId="0" fontId="0" fillId="0" borderId="0" xfId="0"/>
    <xf numFmtId="0" fontId="3" fillId="0" borderId="0" xfId="0" applyFont="1" applyAlignment="1">
      <alignment horizontal="left" vertical="top" wrapText="1"/>
    </xf>
    <xf numFmtId="0" fontId="0" fillId="0" borderId="6" xfId="0" applyBorder="1" applyAlignment="1">
      <alignment wrapText="1"/>
    </xf>
    <xf numFmtId="0" fontId="0" fillId="0" borderId="0" xfId="0" applyAlignment="1">
      <alignment wrapText="1"/>
    </xf>
    <xf numFmtId="0" fontId="0" fillId="0" borderId="0" xfId="0" applyAlignment="1">
      <alignment vertical="center" wrapText="1"/>
    </xf>
    <xf numFmtId="0" fontId="2" fillId="0" borderId="0" xfId="0" applyFont="1"/>
    <xf numFmtId="0" fontId="8" fillId="0" borderId="0" xfId="0" applyFont="1"/>
    <xf numFmtId="2" fontId="2" fillId="0" borderId="0" xfId="1" applyNumberFormat="1" applyFont="1" applyFill="1" applyBorder="1" applyAlignment="1">
      <alignment horizontal="center"/>
    </xf>
    <xf numFmtId="9" fontId="2" fillId="0" borderId="0" xfId="1" applyFont="1" applyFill="1" applyBorder="1" applyAlignment="1">
      <alignment horizontal="center"/>
    </xf>
    <xf numFmtId="0" fontId="11" fillId="0" borderId="0" xfId="0" applyFont="1"/>
    <xf numFmtId="0" fontId="7"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vertical="center" wrapText="1"/>
    </xf>
    <xf numFmtId="0" fontId="14" fillId="0" borderId="0" xfId="0" applyFont="1"/>
    <xf numFmtId="0" fontId="0" fillId="0" borderId="0" xfId="0" applyAlignment="1">
      <alignment vertical="top"/>
    </xf>
    <xf numFmtId="0" fontId="16" fillId="0" borderId="0" xfId="0" applyFont="1"/>
    <xf numFmtId="0" fontId="17" fillId="0" borderId="0" xfId="0" applyFont="1"/>
    <xf numFmtId="0" fontId="2" fillId="8" borderId="20"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2" borderId="20" xfId="0" applyFont="1" applyFill="1" applyBorder="1"/>
    <xf numFmtId="0" fontId="0" fillId="0" borderId="24" xfId="0" applyBorder="1" applyAlignment="1">
      <alignment vertical="top" wrapText="1"/>
    </xf>
    <xf numFmtId="0" fontId="0" fillId="0" borderId="25" xfId="0" applyBorder="1" applyAlignment="1">
      <alignment wrapText="1"/>
    </xf>
    <xf numFmtId="0" fontId="0" fillId="0" borderId="26" xfId="0" applyBorder="1" applyAlignment="1">
      <alignment wrapText="1"/>
    </xf>
    <xf numFmtId="0" fontId="10" fillId="0" borderId="24" xfId="0" applyFont="1" applyBorder="1" applyAlignment="1">
      <alignment wrapText="1"/>
    </xf>
    <xf numFmtId="0" fontId="10" fillId="0" borderId="25" xfId="0" applyFont="1" applyBorder="1" applyAlignment="1">
      <alignment wrapText="1"/>
    </xf>
    <xf numFmtId="0" fontId="0" fillId="7" borderId="24" xfId="0" applyFill="1" applyBorder="1" applyAlignment="1">
      <alignment wrapText="1"/>
    </xf>
    <xf numFmtId="0" fontId="0" fillId="7" borderId="26" xfId="0" applyFill="1" applyBorder="1" applyAlignment="1">
      <alignment wrapText="1"/>
    </xf>
    <xf numFmtId="0" fontId="0" fillId="7" borderId="25" xfId="0" applyFill="1" applyBorder="1" applyAlignment="1">
      <alignment wrapText="1"/>
    </xf>
    <xf numFmtId="0" fontId="0" fillId="0" borderId="20" xfId="0" applyBorder="1" applyAlignment="1">
      <alignment wrapText="1"/>
    </xf>
    <xf numFmtId="0" fontId="0" fillId="0" borderId="24" xfId="0" applyBorder="1" applyAlignment="1">
      <alignment wrapText="1"/>
    </xf>
    <xf numFmtId="0" fontId="0" fillId="0" borderId="19" xfId="0" applyBorder="1" applyAlignment="1">
      <alignment wrapText="1"/>
    </xf>
    <xf numFmtId="0" fontId="0" fillId="0" borderId="26" xfId="0" applyBorder="1"/>
    <xf numFmtId="0" fontId="0" fillId="0" borderId="26" xfId="0" applyBorder="1" applyAlignment="1">
      <alignment horizontal="center"/>
    </xf>
    <xf numFmtId="0" fontId="0" fillId="0" borderId="26" xfId="0" applyBorder="1" applyAlignment="1">
      <alignment vertical="center" wrapText="1"/>
    </xf>
    <xf numFmtId="0" fontId="0" fillId="0" borderId="26" xfId="0" applyBorder="1" applyAlignment="1">
      <alignment vertical="top" wrapText="1"/>
    </xf>
    <xf numFmtId="0" fontId="0" fillId="9" borderId="26" xfId="0" applyFill="1" applyBorder="1" applyAlignment="1">
      <alignment horizontal="center" vertical="center"/>
    </xf>
    <xf numFmtId="0" fontId="0" fillId="0" borderId="26" xfId="0" applyBorder="1" applyAlignment="1">
      <alignment vertical="center"/>
    </xf>
    <xf numFmtId="0" fontId="0" fillId="0" borderId="25" xfId="0" applyBorder="1" applyAlignment="1">
      <alignment vertical="center" wrapText="1"/>
    </xf>
    <xf numFmtId="0" fontId="0" fillId="0" borderId="25" xfId="0" applyBorder="1" applyAlignment="1">
      <alignment vertical="top" wrapText="1"/>
    </xf>
    <xf numFmtId="0" fontId="0" fillId="11" borderId="26" xfId="0" applyFill="1" applyBorder="1" applyAlignment="1">
      <alignment horizontal="center" vertical="center"/>
    </xf>
    <xf numFmtId="0" fontId="2" fillId="10" borderId="20" xfId="0" applyFont="1" applyFill="1" applyBorder="1" applyAlignment="1">
      <alignment horizontal="center" vertical="center"/>
    </xf>
    <xf numFmtId="0" fontId="0" fillId="0" borderId="24" xfId="0" applyBorder="1" applyAlignment="1">
      <alignment vertical="center" wrapText="1"/>
    </xf>
    <xf numFmtId="0" fontId="0" fillId="0" borderId="29" xfId="0" applyBorder="1" applyAlignment="1">
      <alignment vertical="top" wrapText="1"/>
    </xf>
    <xf numFmtId="0" fontId="0" fillId="7" borderId="24" xfId="0" applyFill="1" applyBorder="1" applyAlignment="1">
      <alignment vertical="center" wrapText="1"/>
    </xf>
    <xf numFmtId="0" fontId="0" fillId="7" borderId="26" xfId="0" applyFill="1" applyBorder="1" applyAlignment="1">
      <alignment vertical="center" wrapText="1"/>
    </xf>
    <xf numFmtId="0" fontId="0" fillId="7" borderId="25" xfId="0" applyFill="1" applyBorder="1" applyAlignment="1">
      <alignment vertical="center" wrapText="1"/>
    </xf>
    <xf numFmtId="0" fontId="0" fillId="0" borderId="20" xfId="0" applyBorder="1" applyAlignment="1">
      <alignment vertical="center" wrapText="1"/>
    </xf>
    <xf numFmtId="0" fontId="0" fillId="0" borderId="28" xfId="0" applyBorder="1" applyAlignment="1">
      <alignment vertical="center" wrapText="1"/>
    </xf>
    <xf numFmtId="0" fontId="0" fillId="0" borderId="31" xfId="0" applyBorder="1" applyAlignment="1">
      <alignment vertical="center" wrapText="1"/>
    </xf>
    <xf numFmtId="0" fontId="0" fillId="9" borderId="31" xfId="0" applyFill="1" applyBorder="1" applyAlignment="1">
      <alignment horizontal="center" vertical="center"/>
    </xf>
    <xf numFmtId="0" fontId="0" fillId="11" borderId="31" xfId="0" applyFill="1" applyBorder="1" applyAlignment="1">
      <alignment horizontal="center" vertical="center"/>
    </xf>
    <xf numFmtId="0" fontId="0" fillId="0" borderId="32" xfId="0" applyBorder="1" applyAlignment="1">
      <alignment vertical="center" wrapText="1"/>
    </xf>
    <xf numFmtId="0" fontId="7" fillId="10" borderId="0" xfId="0" applyFont="1" applyFill="1" applyAlignment="1">
      <alignment vertical="center" wrapText="1"/>
    </xf>
    <xf numFmtId="0" fontId="0" fillId="10" borderId="0" xfId="0" applyFill="1"/>
    <xf numFmtId="0" fontId="7" fillId="10" borderId="0" xfId="0" applyFont="1" applyFill="1" applyAlignment="1">
      <alignment vertical="top" wrapText="1"/>
    </xf>
    <xf numFmtId="0" fontId="2" fillId="2" borderId="5" xfId="0" applyFont="1" applyFill="1" applyBorder="1" applyAlignment="1">
      <alignment horizontal="right"/>
    </xf>
    <xf numFmtId="2" fontId="2" fillId="2" borderId="17" xfId="1" applyNumberFormat="1" applyFont="1" applyFill="1" applyBorder="1" applyAlignment="1">
      <alignment horizontal="center"/>
    </xf>
    <xf numFmtId="0" fontId="2" fillId="2" borderId="20" xfId="0" applyFont="1" applyFill="1" applyBorder="1" applyAlignment="1">
      <alignment horizontal="center" vertical="center"/>
    </xf>
    <xf numFmtId="0" fontId="2" fillId="2" borderId="20" xfId="0" applyFont="1" applyFill="1" applyBorder="1" applyAlignment="1">
      <alignment horizontal="center" vertical="center" wrapText="1"/>
    </xf>
    <xf numFmtId="166" fontId="5" fillId="0" borderId="28" xfId="1" applyNumberFormat="1" applyFont="1" applyBorder="1" applyAlignment="1">
      <alignment horizontal="center"/>
    </xf>
    <xf numFmtId="0" fontId="5" fillId="0" borderId="28" xfId="0" applyFont="1" applyBorder="1" applyAlignment="1">
      <alignment vertical="center" wrapText="1"/>
    </xf>
    <xf numFmtId="2" fontId="0" fillId="0" borderId="26" xfId="0" applyNumberFormat="1" applyBorder="1" applyAlignment="1">
      <alignment horizontal="center"/>
    </xf>
    <xf numFmtId="0" fontId="10" fillId="0" borderId="26" xfId="0" applyFont="1" applyBorder="1" applyAlignment="1">
      <alignment horizontal="center" vertical="center"/>
    </xf>
    <xf numFmtId="0" fontId="0" fillId="0" borderId="32" xfId="0" applyBorder="1" applyAlignment="1">
      <alignment wrapText="1"/>
    </xf>
    <xf numFmtId="0" fontId="0" fillId="9" borderId="26" xfId="0" applyFill="1" applyBorder="1"/>
    <xf numFmtId="0" fontId="0" fillId="11" borderId="26" xfId="0" applyFill="1" applyBorder="1"/>
    <xf numFmtId="0" fontId="0" fillId="9" borderId="26" xfId="0" applyFill="1" applyBorder="1" applyAlignment="1">
      <alignment wrapText="1"/>
    </xf>
    <xf numFmtId="0" fontId="0" fillId="11" borderId="26" xfId="0" applyFill="1" applyBorder="1" applyAlignment="1">
      <alignment wrapText="1"/>
    </xf>
    <xf numFmtId="0" fontId="0" fillId="0" borderId="31" xfId="0" applyBorder="1"/>
    <xf numFmtId="2" fontId="0" fillId="0" borderId="31" xfId="0" applyNumberFormat="1" applyBorder="1" applyAlignment="1">
      <alignment horizontal="center"/>
    </xf>
    <xf numFmtId="0" fontId="10" fillId="0" borderId="31" xfId="0" applyFont="1" applyBorder="1" applyAlignment="1">
      <alignment horizontal="center" vertical="center"/>
    </xf>
    <xf numFmtId="0" fontId="4" fillId="0" borderId="31" xfId="2" applyFont="1" applyFill="1" applyBorder="1" applyAlignment="1" applyProtection="1">
      <alignment horizontal="left" vertical="center" wrapText="1"/>
      <protection hidden="1"/>
    </xf>
    <xf numFmtId="0" fontId="4" fillId="9" borderId="31" xfId="2" applyFont="1" applyFill="1" applyBorder="1" applyAlignment="1" applyProtection="1">
      <alignment horizontal="left" vertical="center" wrapText="1"/>
      <protection hidden="1"/>
    </xf>
    <xf numFmtId="0" fontId="4" fillId="11" borderId="31" xfId="2" applyFont="1" applyFill="1" applyBorder="1" applyAlignment="1" applyProtection="1">
      <alignment horizontal="left" vertical="center" wrapText="1"/>
      <protection hidden="1"/>
    </xf>
    <xf numFmtId="0" fontId="2" fillId="2" borderId="20" xfId="0" applyFont="1" applyFill="1" applyBorder="1" applyAlignment="1">
      <alignment horizontal="right"/>
    </xf>
    <xf numFmtId="2" fontId="2" fillId="2" borderId="20" xfId="1" applyNumberFormat="1" applyFont="1" applyFill="1" applyBorder="1" applyAlignment="1">
      <alignment horizontal="center"/>
    </xf>
    <xf numFmtId="9" fontId="2" fillId="2" borderId="20" xfId="1" applyFont="1" applyFill="1" applyBorder="1" applyAlignment="1">
      <alignment horizontal="center"/>
    </xf>
    <xf numFmtId="2" fontId="2" fillId="2" borderId="18" xfId="0" applyNumberFormat="1" applyFont="1" applyFill="1" applyBorder="1" applyAlignment="1">
      <alignment horizontal="center"/>
    </xf>
    <xf numFmtId="0" fontId="0" fillId="0" borderId="28" xfId="0" applyBorder="1" applyAlignment="1">
      <alignment wrapText="1"/>
    </xf>
    <xf numFmtId="9" fontId="14" fillId="0" borderId="0" xfId="1" applyFont="1" applyFill="1" applyBorder="1" applyAlignment="1">
      <alignment horizontal="left"/>
    </xf>
    <xf numFmtId="0" fontId="0" fillId="0" borderId="31" xfId="0" applyBorder="1" applyAlignment="1">
      <alignment wrapText="1"/>
    </xf>
    <xf numFmtId="0" fontId="0" fillId="0" borderId="31" xfId="0" applyBorder="1" applyAlignment="1">
      <alignment vertical="top" wrapText="1"/>
    </xf>
    <xf numFmtId="0" fontId="0" fillId="0" borderId="28" xfId="0" applyBorder="1" applyAlignment="1">
      <alignment vertical="top" wrapText="1"/>
    </xf>
    <xf numFmtId="0" fontId="2" fillId="4" borderId="29" xfId="0" applyFont="1" applyFill="1" applyBorder="1" applyAlignment="1">
      <alignment wrapText="1"/>
    </xf>
    <xf numFmtId="0" fontId="2" fillId="4" borderId="29" xfId="0" applyFont="1" applyFill="1" applyBorder="1" applyAlignment="1">
      <alignment horizontal="center" wrapText="1"/>
    </xf>
    <xf numFmtId="0" fontId="2" fillId="8" borderId="29" xfId="0" applyFont="1" applyFill="1" applyBorder="1" applyAlignment="1">
      <alignment horizontal="center" vertical="center" wrapText="1"/>
    </xf>
    <xf numFmtId="0" fontId="2" fillId="2" borderId="20" xfId="0" applyFont="1" applyFill="1" applyBorder="1" applyAlignment="1">
      <alignment vertical="center" wrapText="1"/>
    </xf>
    <xf numFmtId="0" fontId="0" fillId="0" borderId="24" xfId="0" applyBorder="1" applyAlignment="1">
      <alignment horizontal="left" vertical="top" wrapText="1"/>
    </xf>
    <xf numFmtId="0" fontId="0" fillId="0" borderId="25" xfId="0" applyBorder="1" applyAlignment="1">
      <alignment horizontal="left" wrapText="1"/>
    </xf>
    <xf numFmtId="0" fontId="0" fillId="7" borderId="24" xfId="0" applyFill="1" applyBorder="1" applyAlignment="1">
      <alignment horizontal="left" wrapText="1"/>
    </xf>
    <xf numFmtId="0" fontId="0" fillId="7" borderId="26" xfId="0" applyFill="1" applyBorder="1" applyAlignment="1">
      <alignment horizontal="left" wrapText="1"/>
    </xf>
    <xf numFmtId="0" fontId="0" fillId="0" borderId="24" xfId="0" applyBorder="1" applyAlignment="1">
      <alignment horizontal="left" wrapText="1"/>
    </xf>
    <xf numFmtId="0" fontId="0" fillId="0" borderId="14" xfId="0" applyBorder="1" applyAlignment="1">
      <alignment wrapText="1"/>
    </xf>
    <xf numFmtId="0" fontId="2" fillId="0" borderId="25" xfId="0" applyFont="1" applyBorder="1" applyAlignment="1">
      <alignment vertical="center" wrapText="1"/>
    </xf>
    <xf numFmtId="0" fontId="2" fillId="0" borderId="28" xfId="0" applyFont="1" applyBorder="1" applyAlignment="1">
      <alignment vertical="center" wrapText="1"/>
    </xf>
    <xf numFmtId="0" fontId="14" fillId="0" borderId="0" xfId="0" applyFont="1" applyAlignment="1">
      <alignment vertical="center"/>
    </xf>
    <xf numFmtId="0" fontId="0" fillId="2" borderId="20" xfId="0" applyFill="1" applyBorder="1" applyAlignment="1">
      <alignment vertical="center" wrapText="1"/>
    </xf>
    <xf numFmtId="0" fontId="0" fillId="2" borderId="20" xfId="0" applyFill="1" applyBorder="1" applyAlignment="1">
      <alignment vertical="top" wrapText="1"/>
    </xf>
    <xf numFmtId="0" fontId="0" fillId="2" borderId="20" xfId="0" applyFill="1" applyBorder="1" applyAlignment="1">
      <alignment wrapText="1"/>
    </xf>
    <xf numFmtId="0" fontId="0" fillId="10" borderId="0" xfId="0" applyFill="1" applyAlignment="1">
      <alignment wrapText="1"/>
    </xf>
    <xf numFmtId="0" fontId="6" fillId="0" borderId="0" xfId="0" applyFont="1" applyAlignment="1">
      <alignment wrapText="1"/>
    </xf>
    <xf numFmtId="0" fontId="2" fillId="4" borderId="20" xfId="0" applyFont="1" applyFill="1" applyBorder="1" applyAlignment="1">
      <alignment vertical="center" wrapText="1"/>
    </xf>
    <xf numFmtId="0" fontId="2" fillId="10" borderId="20" xfId="0" applyFont="1" applyFill="1" applyBorder="1" applyAlignment="1">
      <alignment horizontal="center" vertical="center" wrapText="1"/>
    </xf>
    <xf numFmtId="0" fontId="0" fillId="9" borderId="28" xfId="0" applyFill="1" applyBorder="1" applyAlignment="1">
      <alignment horizontal="center" vertical="center" wrapText="1"/>
    </xf>
    <xf numFmtId="0" fontId="0" fillId="11" borderId="28" xfId="0" applyFill="1" applyBorder="1" applyAlignment="1">
      <alignment horizontal="center" vertical="center" wrapText="1"/>
    </xf>
    <xf numFmtId="0" fontId="0" fillId="9" borderId="25" xfId="0" applyFill="1" applyBorder="1" applyAlignment="1">
      <alignment horizontal="center" vertical="center" wrapText="1"/>
    </xf>
    <xf numFmtId="0" fontId="0" fillId="11" borderId="25" xfId="0" applyFill="1" applyBorder="1" applyAlignment="1">
      <alignment horizontal="center" vertical="center" wrapText="1"/>
    </xf>
    <xf numFmtId="0" fontId="5" fillId="0" borderId="28" xfId="0" applyFont="1" applyBorder="1" applyAlignment="1">
      <alignment wrapText="1"/>
    </xf>
    <xf numFmtId="0" fontId="0" fillId="9" borderId="26" xfId="0" applyFill="1" applyBorder="1" applyAlignment="1">
      <alignment horizontal="center" vertical="center" wrapText="1"/>
    </xf>
    <xf numFmtId="0" fontId="0" fillId="11" borderId="26" xfId="0" applyFill="1" applyBorder="1" applyAlignment="1">
      <alignment horizontal="center" vertical="center" wrapText="1"/>
    </xf>
    <xf numFmtId="0" fontId="0" fillId="10" borderId="0" xfId="0" applyFill="1" applyAlignment="1">
      <alignment vertical="center" wrapText="1"/>
    </xf>
    <xf numFmtId="0" fontId="14" fillId="0" borderId="0" xfId="0" applyFont="1" applyAlignment="1">
      <alignment wrapText="1"/>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vertical="center" wrapText="1"/>
    </xf>
    <xf numFmtId="0" fontId="2" fillId="5" borderId="16" xfId="0" applyFont="1" applyFill="1" applyBorder="1" applyAlignment="1">
      <alignment vertical="center" wrapText="1"/>
    </xf>
    <xf numFmtId="0" fontId="2" fillId="5" borderId="17" xfId="0" applyFont="1" applyFill="1" applyBorder="1" applyAlignment="1">
      <alignment vertical="center" wrapText="1"/>
    </xf>
    <xf numFmtId="0" fontId="2" fillId="5" borderId="21" xfId="0" applyFont="1" applyFill="1" applyBorder="1" applyAlignment="1">
      <alignment vertical="center" wrapText="1"/>
    </xf>
    <xf numFmtId="0" fontId="2" fillId="5" borderId="1" xfId="0" applyFont="1" applyFill="1" applyBorder="1" applyAlignment="1">
      <alignment vertical="center" wrapText="1"/>
    </xf>
    <xf numFmtId="0" fontId="2" fillId="0" borderId="13" xfId="0" applyFont="1" applyBorder="1" applyAlignment="1">
      <alignment wrapText="1"/>
    </xf>
    <xf numFmtId="0" fontId="2" fillId="2" borderId="20" xfId="0" applyFont="1" applyFill="1" applyBorder="1" applyAlignment="1">
      <alignment horizontal="left" vertical="center" wrapText="1"/>
    </xf>
    <xf numFmtId="1" fontId="0" fillId="0" borderId="28" xfId="0" applyNumberFormat="1" applyBorder="1" applyAlignment="1">
      <alignment wrapText="1"/>
    </xf>
    <xf numFmtId="0" fontId="0" fillId="0" borderId="28" xfId="0" applyBorder="1" applyAlignment="1">
      <alignment horizontal="left" wrapText="1"/>
    </xf>
    <xf numFmtId="9" fontId="0" fillId="0" borderId="26" xfId="0" applyNumberFormat="1" applyBorder="1" applyAlignment="1">
      <alignment wrapText="1"/>
    </xf>
    <xf numFmtId="0" fontId="0" fillId="0" borderId="26" xfId="0" applyBorder="1" applyAlignment="1">
      <alignment horizontal="left" wrapText="1"/>
    </xf>
    <xf numFmtId="9" fontId="0" fillId="0" borderId="26" xfId="0" applyNumberFormat="1" applyBorder="1" applyAlignment="1">
      <alignment vertical="center" wrapText="1"/>
    </xf>
    <xf numFmtId="1" fontId="0" fillId="0" borderId="31" xfId="0" applyNumberFormat="1" applyBorder="1" applyAlignment="1">
      <alignment vertical="center" wrapText="1"/>
    </xf>
    <xf numFmtId="0" fontId="0" fillId="0" borderId="31" xfId="0" applyBorder="1" applyAlignment="1">
      <alignment horizontal="left" vertical="center" wrapText="1"/>
    </xf>
    <xf numFmtId="0" fontId="0" fillId="9" borderId="31" xfId="0" applyFill="1" applyBorder="1" applyAlignment="1">
      <alignment horizontal="center" vertical="center" wrapText="1"/>
    </xf>
    <xf numFmtId="1" fontId="0" fillId="2" borderId="20" xfId="0" applyNumberFormat="1" applyFill="1" applyBorder="1" applyAlignment="1">
      <alignment vertical="center" wrapText="1"/>
    </xf>
    <xf numFmtId="0" fontId="0" fillId="2" borderId="20" xfId="0" applyFill="1" applyBorder="1" applyAlignment="1">
      <alignment horizontal="center" vertical="center" wrapText="1"/>
    </xf>
    <xf numFmtId="0" fontId="2" fillId="2" borderId="20" xfId="0" applyFont="1" applyFill="1" applyBorder="1" applyAlignment="1">
      <alignment wrapText="1"/>
    </xf>
    <xf numFmtId="0" fontId="0" fillId="0" borderId="29" xfId="0" applyBorder="1" applyAlignment="1">
      <alignment vertical="center" wrapText="1"/>
    </xf>
    <xf numFmtId="0" fontId="0" fillId="0" borderId="24" xfId="0" applyBorder="1" applyAlignment="1">
      <alignment horizontal="left" vertical="center" wrapText="1"/>
    </xf>
    <xf numFmtId="0" fontId="0" fillId="11" borderId="31" xfId="0" applyFill="1" applyBorder="1" applyAlignment="1">
      <alignment horizontal="center" vertical="center" wrapText="1"/>
    </xf>
    <xf numFmtId="0" fontId="0" fillId="0" borderId="25" xfId="0" applyBorder="1" applyAlignment="1">
      <alignment horizontal="left" vertical="center" wrapText="1"/>
    </xf>
    <xf numFmtId="0" fontId="2" fillId="2" borderId="29" xfId="0" applyFont="1" applyFill="1" applyBorder="1" applyAlignment="1">
      <alignment wrapText="1"/>
    </xf>
    <xf numFmtId="0" fontId="5" fillId="0" borderId="24" xfId="0" applyFont="1" applyBorder="1" applyAlignment="1">
      <alignment horizontal="right" vertical="center" wrapText="1"/>
    </xf>
    <xf numFmtId="164" fontId="0" fillId="0" borderId="24" xfId="0" applyNumberFormat="1" applyBorder="1" applyAlignment="1">
      <alignment vertical="center" wrapText="1"/>
    </xf>
    <xf numFmtId="0" fontId="5" fillId="0" borderId="25" xfId="0" applyFont="1" applyBorder="1" applyAlignment="1">
      <alignment horizontal="right" wrapText="1"/>
    </xf>
    <xf numFmtId="0" fontId="5" fillId="0" borderId="24" xfId="0" applyFont="1" applyBorder="1" applyAlignment="1">
      <alignment horizontal="right" wrapText="1"/>
    </xf>
    <xf numFmtId="164" fontId="0" fillId="0" borderId="24" xfId="0" applyNumberFormat="1" applyBorder="1" applyAlignment="1">
      <alignment wrapText="1"/>
    </xf>
    <xf numFmtId="0" fontId="0" fillId="9" borderId="24" xfId="0" applyFill="1" applyBorder="1" applyAlignment="1">
      <alignment horizontal="center" vertical="center" wrapText="1"/>
    </xf>
    <xf numFmtId="0" fontId="0" fillId="11" borderId="24" xfId="0" applyFill="1" applyBorder="1" applyAlignment="1">
      <alignment horizontal="center" vertical="center" wrapText="1"/>
    </xf>
    <xf numFmtId="0" fontId="0" fillId="0" borderId="24" xfId="0" applyBorder="1" applyAlignment="1">
      <alignment horizontal="center" vertical="center" wrapText="1"/>
    </xf>
    <xf numFmtId="0" fontId="2" fillId="2" borderId="20" xfId="0" applyFont="1" applyFill="1" applyBorder="1" applyAlignment="1">
      <alignment horizontal="left" wrapText="1"/>
    </xf>
    <xf numFmtId="0" fontId="0" fillId="0" borderId="0" xfId="0" applyAlignment="1">
      <alignment vertical="top" wrapText="1"/>
    </xf>
    <xf numFmtId="0" fontId="9" fillId="0" borderId="24" xfId="0" applyFont="1" applyBorder="1" applyAlignment="1">
      <alignment horizontal="right" vertical="top" wrapText="1"/>
    </xf>
    <xf numFmtId="164" fontId="0" fillId="0" borderId="24" xfId="0" applyNumberFormat="1" applyBorder="1" applyAlignment="1">
      <alignment vertical="top" wrapText="1"/>
    </xf>
    <xf numFmtId="0" fontId="9" fillId="0" borderId="25" xfId="0" applyFont="1" applyBorder="1" applyAlignment="1">
      <alignment horizontal="right" wrapText="1"/>
    </xf>
    <xf numFmtId="0" fontId="5" fillId="7" borderId="24" xfId="0" applyFont="1" applyFill="1" applyBorder="1" applyAlignment="1">
      <alignment horizontal="right" wrapText="1"/>
    </xf>
    <xf numFmtId="164" fontId="0" fillId="7" borderId="24" xfId="0" applyNumberFormat="1" applyFill="1" applyBorder="1" applyAlignment="1">
      <alignment horizontal="right" wrapText="1"/>
    </xf>
    <xf numFmtId="0" fontId="5" fillId="7" borderId="26" xfId="0" applyFont="1" applyFill="1" applyBorder="1" applyAlignment="1">
      <alignment horizontal="right" wrapText="1"/>
    </xf>
    <xf numFmtId="0" fontId="0" fillId="7" borderId="26" xfId="0" applyFill="1" applyBorder="1" applyAlignment="1">
      <alignment horizontal="right" wrapText="1"/>
    </xf>
    <xf numFmtId="0" fontId="0" fillId="7" borderId="25" xfId="0" applyFill="1" applyBorder="1" applyAlignment="1">
      <alignment horizontal="center" wrapText="1"/>
    </xf>
    <xf numFmtId="0" fontId="0" fillId="7" borderId="25" xfId="0" applyFill="1" applyBorder="1" applyAlignment="1">
      <alignment horizontal="left" wrapText="1"/>
    </xf>
    <xf numFmtId="0" fontId="0" fillId="0" borderId="24" xfId="0" applyBorder="1" applyAlignment="1">
      <alignment horizontal="right" wrapText="1"/>
    </xf>
    <xf numFmtId="2" fontId="0" fillId="0" borderId="24" xfId="0" applyNumberFormat="1" applyBorder="1" applyAlignment="1">
      <alignment wrapText="1"/>
    </xf>
    <xf numFmtId="0" fontId="0" fillId="0" borderId="25" xfId="0" applyBorder="1" applyAlignment="1">
      <alignment horizontal="right" wrapText="1"/>
    </xf>
    <xf numFmtId="0" fontId="0" fillId="0" borderId="20" xfId="0" applyBorder="1" applyAlignment="1">
      <alignment horizontal="right" wrapText="1"/>
    </xf>
    <xf numFmtId="164" fontId="0" fillId="0" borderId="20" xfId="0" applyNumberFormat="1" applyBorder="1" applyAlignment="1">
      <alignment wrapText="1"/>
    </xf>
    <xf numFmtId="0" fontId="5" fillId="0" borderId="20" xfId="0" applyFont="1" applyBorder="1" applyAlignment="1">
      <alignment horizontal="left" wrapText="1"/>
    </xf>
    <xf numFmtId="0" fontId="0" fillId="9" borderId="20" xfId="0" applyFill="1" applyBorder="1" applyAlignment="1">
      <alignment horizontal="center" vertical="center" wrapText="1"/>
    </xf>
    <xf numFmtId="0" fontId="0" fillId="11" borderId="20" xfId="0" applyFill="1" applyBorder="1" applyAlignment="1">
      <alignment horizontal="center" vertical="center" wrapText="1"/>
    </xf>
    <xf numFmtId="0" fontId="0" fillId="0" borderId="26" xfId="0" applyBorder="1" applyAlignment="1">
      <alignment horizontal="right" wrapText="1"/>
    </xf>
    <xf numFmtId="0" fontId="0" fillId="0" borderId="31" xfId="0" applyBorder="1" applyAlignment="1">
      <alignment horizontal="right" wrapText="1"/>
    </xf>
    <xf numFmtId="0" fontId="2" fillId="10" borderId="29" xfId="0" applyFont="1" applyFill="1" applyBorder="1" applyAlignment="1">
      <alignment horizontal="center" vertical="center" wrapText="1"/>
    </xf>
    <xf numFmtId="0" fontId="0" fillId="0" borderId="31" xfId="0" applyBorder="1" applyAlignment="1">
      <alignment horizontal="center" vertical="center" wrapText="1"/>
    </xf>
    <xf numFmtId="0" fontId="10" fillId="0" borderId="26" xfId="0" applyFont="1" applyBorder="1" applyAlignment="1">
      <alignment horizontal="center" vertical="center" wrapText="1"/>
    </xf>
    <xf numFmtId="0" fontId="0" fillId="0" borderId="26" xfId="0" applyBorder="1" applyAlignment="1">
      <alignment horizontal="center" vertical="center" wrapText="1"/>
    </xf>
    <xf numFmtId="9" fontId="2" fillId="2" borderId="20" xfId="1" applyFont="1" applyFill="1" applyBorder="1" applyAlignment="1">
      <alignment horizontal="center" wrapText="1"/>
    </xf>
    <xf numFmtId="0" fontId="2" fillId="0" borderId="0" xfId="0" applyFont="1" applyAlignment="1">
      <alignment wrapText="1"/>
    </xf>
    <xf numFmtId="0" fontId="2" fillId="0" borderId="26" xfId="0" applyFont="1" applyBorder="1"/>
    <xf numFmtId="2" fontId="2" fillId="2" borderId="20" xfId="0" applyNumberFormat="1" applyFont="1" applyFill="1" applyBorder="1" applyAlignment="1">
      <alignment horizontal="center"/>
    </xf>
    <xf numFmtId="0" fontId="2" fillId="0" borderId="26" xfId="0" applyFont="1" applyBorder="1" applyAlignment="1">
      <alignment horizontal="center"/>
    </xf>
    <xf numFmtId="0" fontId="10" fillId="0" borderId="31" xfId="0" applyFont="1" applyBorder="1" applyAlignment="1">
      <alignment horizontal="center" vertical="center" wrapText="1"/>
    </xf>
    <xf numFmtId="0" fontId="0" fillId="6" borderId="29" xfId="0" applyFill="1" applyBorder="1" applyAlignment="1">
      <alignment vertical="top"/>
    </xf>
    <xf numFmtId="0" fontId="2" fillId="6" borderId="35" xfId="0" applyFont="1" applyFill="1" applyBorder="1" applyAlignment="1">
      <alignment vertical="top"/>
    </xf>
    <xf numFmtId="0" fontId="2" fillId="6" borderId="36" xfId="0" applyFont="1" applyFill="1" applyBorder="1" applyAlignment="1">
      <alignment vertical="top"/>
    </xf>
    <xf numFmtId="0" fontId="2" fillId="6" borderId="39" xfId="0" applyFont="1" applyFill="1" applyBorder="1" applyAlignment="1">
      <alignment vertical="top"/>
    </xf>
    <xf numFmtId="0" fontId="0" fillId="6" borderId="36" xfId="0" applyFill="1" applyBorder="1" applyAlignment="1">
      <alignment vertical="top"/>
    </xf>
    <xf numFmtId="0" fontId="0" fillId="6" borderId="32" xfId="0" applyFill="1" applyBorder="1" applyAlignment="1">
      <alignment vertical="top"/>
    </xf>
    <xf numFmtId="0" fontId="18" fillId="6" borderId="37" xfId="0" applyFont="1" applyFill="1" applyBorder="1" applyAlignment="1">
      <alignment horizontal="center" vertical="top" wrapText="1"/>
    </xf>
    <xf numFmtId="0" fontId="2" fillId="6" borderId="38" xfId="0" applyFont="1" applyFill="1" applyBorder="1" applyAlignment="1">
      <alignment vertical="top"/>
    </xf>
    <xf numFmtId="0" fontId="18" fillId="6" borderId="40" xfId="0" applyFont="1" applyFill="1" applyBorder="1" applyAlignment="1">
      <alignment vertical="top" wrapText="1"/>
    </xf>
    <xf numFmtId="0" fontId="2" fillId="6" borderId="40" xfId="0" applyFont="1" applyFill="1" applyBorder="1" applyAlignment="1">
      <alignment vertical="top" wrapText="1"/>
    </xf>
    <xf numFmtId="0" fontId="0" fillId="6" borderId="38" xfId="0" applyFill="1" applyBorder="1" applyAlignment="1">
      <alignment vertical="top"/>
    </xf>
    <xf numFmtId="0" fontId="2" fillId="2" borderId="20" xfId="0" applyFont="1" applyFill="1" applyBorder="1" applyAlignment="1">
      <alignment horizontal="center" vertical="top"/>
    </xf>
    <xf numFmtId="0" fontId="0" fillId="0" borderId="28" xfId="0" applyBorder="1" applyAlignment="1">
      <alignment vertical="top"/>
    </xf>
    <xf numFmtId="0" fontId="0" fillId="0" borderId="28" xfId="0" applyBorder="1" applyAlignment="1">
      <alignment horizontal="left" vertical="top"/>
    </xf>
    <xf numFmtId="0" fontId="0" fillId="0" borderId="26" xfId="0" applyBorder="1" applyAlignment="1">
      <alignment vertical="top"/>
    </xf>
    <xf numFmtId="9" fontId="0" fillId="0" borderId="26" xfId="0" applyNumberFormat="1" applyBorder="1" applyAlignment="1">
      <alignment vertical="top"/>
    </xf>
    <xf numFmtId="0" fontId="0" fillId="0" borderId="26" xfId="0" applyBorder="1" applyAlignment="1">
      <alignment horizontal="left" vertical="top"/>
    </xf>
    <xf numFmtId="0" fontId="0" fillId="0" borderId="31" xfId="0" applyBorder="1" applyAlignment="1">
      <alignment horizontal="left" vertical="top"/>
    </xf>
    <xf numFmtId="0" fontId="2" fillId="2" borderId="20" xfId="0" applyFont="1" applyFill="1" applyBorder="1" applyAlignment="1">
      <alignment vertical="top"/>
    </xf>
    <xf numFmtId="0" fontId="0" fillId="2" borderId="20" xfId="0" applyFill="1" applyBorder="1" applyAlignment="1">
      <alignment horizontal="left" vertical="top"/>
    </xf>
    <xf numFmtId="0" fontId="0" fillId="2" borderId="15" xfId="0" applyFill="1" applyBorder="1" applyAlignment="1">
      <alignmen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5" xfId="0" applyBorder="1" applyAlignment="1">
      <alignment vertical="top"/>
    </xf>
    <xf numFmtId="0" fontId="0" fillId="0" borderId="0" xfId="0" applyAlignment="1">
      <alignment horizontal="left" vertical="top"/>
    </xf>
    <xf numFmtId="0" fontId="10" fillId="0" borderId="26" xfId="0" applyFont="1" applyBorder="1" applyAlignment="1">
      <alignment horizontal="center"/>
    </xf>
    <xf numFmtId="0" fontId="10" fillId="0" borderId="26" xfId="0" applyFont="1" applyBorder="1" applyAlignment="1">
      <alignment horizontal="left"/>
    </xf>
    <xf numFmtId="0" fontId="10" fillId="0" borderId="31" xfId="0" applyFont="1" applyBorder="1" applyAlignment="1">
      <alignment horizontal="center"/>
    </xf>
    <xf numFmtId="0" fontId="10" fillId="0" borderId="31" xfId="0" applyFont="1" applyBorder="1" applyAlignment="1">
      <alignment horizontal="left"/>
    </xf>
    <xf numFmtId="0" fontId="10" fillId="0" borderId="26" xfId="0" applyFont="1" applyBorder="1" applyAlignment="1">
      <alignment horizontal="right"/>
    </xf>
    <xf numFmtId="0" fontId="10" fillId="0" borderId="31" xfId="0" applyFont="1" applyBorder="1" applyAlignment="1">
      <alignment horizontal="right"/>
    </xf>
    <xf numFmtId="0" fontId="0" fillId="0" borderId="26" xfId="0" applyBorder="1" applyAlignment="1">
      <alignment horizontal="left"/>
    </xf>
    <xf numFmtId="0" fontId="0" fillId="0" borderId="31" xfId="0" applyBorder="1" applyAlignment="1">
      <alignment horizontal="left"/>
    </xf>
    <xf numFmtId="10" fontId="10" fillId="0" borderId="26" xfId="1" applyNumberFormat="1" applyFont="1" applyBorder="1" applyAlignment="1">
      <alignment horizontal="center"/>
    </xf>
    <xf numFmtId="9" fontId="2" fillId="2" borderId="20" xfId="1" applyFont="1" applyFill="1" applyBorder="1" applyAlignment="1">
      <alignment horizontal="left"/>
    </xf>
    <xf numFmtId="2" fontId="2" fillId="2" borderId="20" xfId="0" applyNumberFormat="1" applyFont="1" applyFill="1" applyBorder="1" applyAlignment="1">
      <alignment horizontal="left"/>
    </xf>
    <xf numFmtId="0" fontId="7" fillId="12" borderId="0" xfId="0" applyFont="1" applyFill="1" applyAlignment="1">
      <alignment horizontal="left" vertical="top" wrapText="1"/>
    </xf>
    <xf numFmtId="0" fontId="2" fillId="6" borderId="35" xfId="0" applyFont="1" applyFill="1" applyBorder="1" applyAlignment="1">
      <alignment horizontal="left" vertical="top"/>
    </xf>
    <xf numFmtId="0" fontId="2" fillId="6" borderId="9" xfId="0" applyFont="1" applyFill="1" applyBorder="1" applyAlignment="1">
      <alignment horizontal="left" vertical="top"/>
    </xf>
    <xf numFmtId="0" fontId="2" fillId="6" borderId="10" xfId="0" applyFont="1" applyFill="1" applyBorder="1" applyAlignment="1">
      <alignment horizontal="left" vertical="top"/>
    </xf>
    <xf numFmtId="0" fontId="18" fillId="6" borderId="37" xfId="0" applyFont="1" applyFill="1" applyBorder="1" applyAlignment="1">
      <alignment horizontal="left" vertical="top" wrapText="1"/>
    </xf>
    <xf numFmtId="0" fontId="18" fillId="6" borderId="4" xfId="0" applyFont="1" applyFill="1" applyBorder="1" applyAlignment="1">
      <alignment horizontal="left" vertical="top" wrapText="1"/>
    </xf>
    <xf numFmtId="0" fontId="2" fillId="6" borderId="11" xfId="0" applyFont="1" applyFill="1" applyBorder="1" applyAlignment="1">
      <alignment horizontal="left" vertical="top"/>
    </xf>
    <xf numFmtId="0" fontId="2" fillId="6" borderId="37" xfId="0" applyFont="1" applyFill="1" applyBorder="1" applyAlignment="1">
      <alignment horizontal="left" vertical="top" wrapText="1"/>
    </xf>
    <xf numFmtId="10" fontId="0" fillId="12" borderId="0" xfId="0" applyNumberFormat="1" applyFill="1" applyAlignment="1">
      <alignment horizontal="left" vertical="top"/>
    </xf>
    <xf numFmtId="0" fontId="0" fillId="12" borderId="0" xfId="0" applyFill="1" applyAlignment="1">
      <alignment horizontal="left" vertical="top"/>
    </xf>
    <xf numFmtId="0" fontId="14" fillId="0" borderId="0" xfId="0" applyFont="1" applyAlignment="1">
      <alignment horizontal="left" vertical="top"/>
    </xf>
    <xf numFmtId="10" fontId="0" fillId="0" borderId="0" xfId="0" applyNumberFormat="1" applyAlignment="1">
      <alignment horizontal="left" vertical="top"/>
    </xf>
    <xf numFmtId="0" fontId="2" fillId="0" borderId="0" xfId="1" applyNumberFormat="1" applyFont="1" applyFill="1" applyBorder="1" applyAlignment="1">
      <alignment horizontal="left" vertical="top"/>
    </xf>
    <xf numFmtId="0" fontId="14" fillId="0" borderId="0" xfId="1" applyNumberFormat="1" applyFont="1" applyFill="1" applyBorder="1" applyAlignment="1">
      <alignment horizontal="left" vertical="top"/>
    </xf>
    <xf numFmtId="10" fontId="2" fillId="0" borderId="0" xfId="1" applyNumberFormat="1" applyFont="1" applyFill="1" applyBorder="1" applyAlignment="1">
      <alignment horizontal="left" vertical="top"/>
    </xf>
    <xf numFmtId="0" fontId="0" fillId="6" borderId="10" xfId="0" applyFill="1" applyBorder="1" applyAlignment="1">
      <alignment horizontal="left" vertical="top"/>
    </xf>
    <xf numFmtId="10" fontId="0" fillId="6" borderId="10" xfId="0" applyNumberFormat="1" applyFill="1" applyBorder="1" applyAlignment="1">
      <alignment horizontal="left" vertical="top"/>
    </xf>
    <xf numFmtId="0" fontId="0" fillId="6" borderId="2" xfId="0" applyFill="1" applyBorder="1" applyAlignment="1">
      <alignment horizontal="left" vertical="top"/>
    </xf>
    <xf numFmtId="0" fontId="0" fillId="6" borderId="11" xfId="0" applyFill="1" applyBorder="1" applyAlignment="1">
      <alignment horizontal="left" vertical="top"/>
    </xf>
    <xf numFmtId="0" fontId="14" fillId="6" borderId="11" xfId="1" applyNumberFormat="1" applyFont="1" applyFill="1" applyBorder="1" applyAlignment="1">
      <alignment horizontal="left" vertical="top"/>
    </xf>
    <xf numFmtId="10" fontId="0" fillId="6" borderId="11" xfId="0" applyNumberFormat="1" applyFill="1" applyBorder="1" applyAlignment="1">
      <alignment horizontal="left" vertical="top"/>
    </xf>
    <xf numFmtId="0" fontId="0" fillId="6" borderId="3" xfId="0" applyFill="1" applyBorder="1" applyAlignment="1">
      <alignment horizontal="left" vertical="top"/>
    </xf>
    <xf numFmtId="0" fontId="2" fillId="2" borderId="20" xfId="0" applyFont="1" applyFill="1" applyBorder="1" applyAlignment="1">
      <alignment horizontal="left" vertical="top"/>
    </xf>
    <xf numFmtId="10" fontId="2" fillId="2" borderId="20" xfId="0" applyNumberFormat="1" applyFont="1" applyFill="1" applyBorder="1" applyAlignment="1">
      <alignment horizontal="left" vertical="top"/>
    </xf>
    <xf numFmtId="0" fontId="5" fillId="0" borderId="0" xfId="0" applyFont="1" applyAlignment="1">
      <alignment horizontal="left" vertical="top"/>
    </xf>
    <xf numFmtId="0" fontId="2" fillId="2" borderId="20" xfId="1" applyNumberFormat="1" applyFont="1" applyFill="1" applyBorder="1" applyAlignment="1">
      <alignment horizontal="left" vertical="top"/>
    </xf>
    <xf numFmtId="10" fontId="2" fillId="2" borderId="20" xfId="1" applyNumberFormat="1" applyFont="1" applyFill="1" applyBorder="1" applyAlignment="1">
      <alignment horizontal="left" vertical="top"/>
    </xf>
    <xf numFmtId="0" fontId="2" fillId="0" borderId="0" xfId="0" applyFont="1" applyAlignment="1">
      <alignment horizontal="left" vertical="top"/>
    </xf>
    <xf numFmtId="10" fontId="1" fillId="0" borderId="26" xfId="1" applyNumberFormat="1" applyFont="1" applyBorder="1" applyAlignment="1">
      <alignment horizontal="left" vertical="top"/>
    </xf>
    <xf numFmtId="0" fontId="2" fillId="2" borderId="5" xfId="0" applyFont="1" applyFill="1" applyBorder="1" applyAlignment="1">
      <alignment horizontal="left" vertical="top"/>
    </xf>
    <xf numFmtId="0" fontId="2" fillId="2" borderId="17" xfId="1" applyNumberFormat="1" applyFont="1" applyFill="1" applyBorder="1" applyAlignment="1">
      <alignment horizontal="left" vertical="top"/>
    </xf>
    <xf numFmtId="0" fontId="2" fillId="2" borderId="18" xfId="0" applyFont="1" applyFill="1" applyBorder="1" applyAlignment="1">
      <alignment horizontal="left" vertical="top"/>
    </xf>
    <xf numFmtId="0" fontId="14" fillId="6" borderId="3" xfId="1" applyNumberFormat="1" applyFont="1" applyFill="1" applyBorder="1" applyAlignment="1">
      <alignment horizontal="left" vertical="top"/>
    </xf>
    <xf numFmtId="0" fontId="2" fillId="4" borderId="20" xfId="0" applyFont="1" applyFill="1" applyBorder="1" applyAlignment="1">
      <alignment horizontal="left" vertical="top" wrapText="1"/>
    </xf>
    <xf numFmtId="0" fontId="0" fillId="0" borderId="28"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1" fontId="0" fillId="0" borderId="28" xfId="0" applyNumberFormat="1" applyBorder="1" applyAlignment="1">
      <alignment horizontal="left" wrapText="1"/>
    </xf>
    <xf numFmtId="1" fontId="0" fillId="0" borderId="26" xfId="0" applyNumberFormat="1" applyBorder="1" applyAlignment="1">
      <alignment horizontal="left" wrapText="1"/>
    </xf>
    <xf numFmtId="1" fontId="0" fillId="0" borderId="26" xfId="0" applyNumberFormat="1" applyBorder="1" applyAlignment="1">
      <alignment horizontal="left" vertical="center" wrapText="1"/>
    </xf>
    <xf numFmtId="1" fontId="0" fillId="0" borderId="31" xfId="0" applyNumberFormat="1" applyBorder="1" applyAlignment="1">
      <alignment horizontal="left" vertical="center" wrapText="1"/>
    </xf>
    <xf numFmtId="1" fontId="0" fillId="2" borderId="20" xfId="0" applyNumberFormat="1" applyFill="1" applyBorder="1" applyAlignment="1">
      <alignment horizontal="left" vertical="center" wrapText="1"/>
    </xf>
    <xf numFmtId="1" fontId="0" fillId="0" borderId="26" xfId="0" applyNumberFormat="1" applyBorder="1" applyAlignment="1">
      <alignment wrapText="1"/>
    </xf>
    <xf numFmtId="1" fontId="0" fillId="0" borderId="0" xfId="0" applyNumberFormat="1" applyAlignment="1">
      <alignment wrapText="1"/>
    </xf>
    <xf numFmtId="1" fontId="0" fillId="0" borderId="31" xfId="0" applyNumberFormat="1" applyBorder="1" applyAlignment="1">
      <alignment horizontal="left" wrapText="1"/>
    </xf>
    <xf numFmtId="1" fontId="0" fillId="2" borderId="15" xfId="0" applyNumberFormat="1" applyFill="1" applyBorder="1" applyAlignment="1">
      <alignment wrapText="1"/>
    </xf>
    <xf numFmtId="1" fontId="0" fillId="2" borderId="20" xfId="0" applyNumberFormat="1" applyFill="1" applyBorder="1" applyAlignment="1">
      <alignment horizontal="left" wrapText="1"/>
    </xf>
    <xf numFmtId="1" fontId="0" fillId="0" borderId="24" xfId="0" applyNumberFormat="1" applyBorder="1" applyAlignment="1">
      <alignment wrapText="1"/>
    </xf>
    <xf numFmtId="1" fontId="0" fillId="0" borderId="24" xfId="0" applyNumberFormat="1" applyBorder="1" applyAlignment="1">
      <alignment horizontal="left" vertical="center" wrapText="1"/>
    </xf>
    <xf numFmtId="1" fontId="0" fillId="0" borderId="25" xfId="0" applyNumberFormat="1" applyBorder="1" applyAlignment="1">
      <alignment wrapText="1"/>
    </xf>
    <xf numFmtId="1" fontId="0" fillId="0" borderId="25" xfId="0" applyNumberFormat="1" applyBorder="1" applyAlignment="1">
      <alignment horizontal="left" vertical="center" wrapText="1"/>
    </xf>
    <xf numFmtId="164" fontId="0" fillId="0" borderId="28" xfId="0" applyNumberFormat="1" applyBorder="1" applyAlignment="1">
      <alignment horizontal="center" vertical="center" wrapText="1"/>
    </xf>
    <xf numFmtId="164" fontId="0" fillId="0" borderId="28" xfId="0" quotePrefix="1" applyNumberFormat="1" applyBorder="1" applyAlignment="1">
      <alignment horizontal="center" vertical="center" wrapText="1"/>
    </xf>
    <xf numFmtId="0" fontId="6" fillId="0" borderId="28" xfId="0" applyFont="1" applyBorder="1" applyAlignment="1">
      <alignment horizontal="left" vertical="top" wrapText="1"/>
    </xf>
    <xf numFmtId="10" fontId="6" fillId="0" borderId="0" xfId="0" applyNumberFormat="1" applyFont="1" applyAlignment="1">
      <alignment horizontal="left" vertical="top"/>
    </xf>
    <xf numFmtId="0" fontId="6" fillId="0" borderId="0" xfId="0" applyFont="1" applyAlignment="1">
      <alignment horizontal="left" vertical="top"/>
    </xf>
    <xf numFmtId="0" fontId="13" fillId="0" borderId="24" xfId="0" applyFont="1" applyBorder="1"/>
    <xf numFmtId="0" fontId="13" fillId="0" borderId="26" xfId="0" applyFont="1" applyBorder="1"/>
    <xf numFmtId="0" fontId="2" fillId="0" borderId="25" xfId="0" applyFont="1" applyBorder="1"/>
    <xf numFmtId="0" fontId="0" fillId="0" borderId="28" xfId="0" applyBorder="1" applyAlignment="1">
      <alignment horizontal="right" vertical="center" wrapText="1"/>
    </xf>
    <xf numFmtId="0" fontId="0" fillId="0" borderId="31" xfId="0" applyBorder="1" applyAlignment="1">
      <alignment horizontal="right" vertical="center" wrapText="1"/>
    </xf>
    <xf numFmtId="0" fontId="2" fillId="2" borderId="20" xfId="0" applyFont="1" applyFill="1" applyBorder="1" applyAlignment="1">
      <alignment horizontal="right" vertical="center" wrapText="1"/>
    </xf>
    <xf numFmtId="0" fontId="0" fillId="0" borderId="24" xfId="0" applyBorder="1" applyAlignment="1">
      <alignment horizontal="right" vertical="center" wrapText="1"/>
    </xf>
    <xf numFmtId="0" fontId="0" fillId="0" borderId="26" xfId="0" applyBorder="1" applyAlignment="1">
      <alignment horizontal="right" vertical="center" wrapText="1"/>
    </xf>
    <xf numFmtId="0" fontId="0" fillId="0" borderId="25" xfId="0" applyBorder="1" applyAlignment="1">
      <alignment horizontal="right" vertical="center" wrapText="1"/>
    </xf>
    <xf numFmtId="0" fontId="2" fillId="4" borderId="20" xfId="0" applyFont="1" applyFill="1" applyBorder="1" applyAlignment="1">
      <alignment vertical="top" wrapText="1"/>
    </xf>
    <xf numFmtId="165" fontId="0" fillId="0" borderId="28" xfId="0" applyNumberFormat="1" applyBorder="1" applyAlignment="1">
      <alignment horizontal="center" vertical="top" wrapText="1"/>
    </xf>
    <xf numFmtId="0" fontId="0" fillId="0" borderId="31" xfId="0" applyBorder="1" applyAlignment="1">
      <alignment horizontal="center" vertical="top" wrapText="1"/>
    </xf>
    <xf numFmtId="0" fontId="2" fillId="2" borderId="20" xfId="0" applyFont="1" applyFill="1" applyBorder="1" applyAlignment="1">
      <alignment vertical="top" wrapText="1"/>
    </xf>
    <xf numFmtId="164" fontId="0" fillId="0" borderId="26" xfId="0" applyNumberFormat="1" applyBorder="1" applyAlignment="1">
      <alignment vertical="top" wrapText="1"/>
    </xf>
    <xf numFmtId="165" fontId="0" fillId="0" borderId="26" xfId="0" applyNumberFormat="1" applyBorder="1" applyAlignment="1">
      <alignment vertical="top" wrapText="1"/>
    </xf>
    <xf numFmtId="0" fontId="5" fillId="7" borderId="25" xfId="0" applyFont="1" applyFill="1" applyBorder="1" applyAlignment="1">
      <alignment horizontal="right" wrapText="1"/>
    </xf>
    <xf numFmtId="0" fontId="7" fillId="12" borderId="0" xfId="0" applyFont="1" applyFill="1" applyAlignment="1">
      <alignment horizontal="left" vertical="top"/>
    </xf>
    <xf numFmtId="0" fontId="7" fillId="12" borderId="0" xfId="0" applyFont="1" applyFill="1" applyAlignment="1">
      <alignment vertical="top" wrapText="1"/>
    </xf>
    <xf numFmtId="0" fontId="0" fillId="12" borderId="0" xfId="0" applyFill="1" applyAlignment="1">
      <alignment vertical="top" wrapText="1"/>
    </xf>
    <xf numFmtId="0" fontId="6" fillId="0" borderId="0" xfId="0" applyFont="1"/>
    <xf numFmtId="0" fontId="19" fillId="0" borderId="0" xfId="0" applyFont="1" applyAlignment="1">
      <alignment wrapText="1"/>
    </xf>
    <xf numFmtId="0" fontId="19" fillId="0" borderId="0" xfId="0" applyFont="1"/>
    <xf numFmtId="0" fontId="20" fillId="0" borderId="0" xfId="0" applyFont="1"/>
    <xf numFmtId="0" fontId="20" fillId="0" borderId="0" xfId="0" applyFont="1" applyAlignment="1">
      <alignment wrapText="1"/>
    </xf>
    <xf numFmtId="0" fontId="21" fillId="0" borderId="0" xfId="0" applyFont="1"/>
    <xf numFmtId="0" fontId="20" fillId="0" borderId="6" xfId="0" applyFont="1" applyBorder="1" applyAlignment="1">
      <alignment wrapText="1"/>
    </xf>
    <xf numFmtId="0" fontId="20" fillId="0" borderId="6" xfId="0" applyFont="1" applyBorder="1" applyAlignment="1">
      <alignment horizontal="center"/>
    </xf>
    <xf numFmtId="0" fontId="20" fillId="0" borderId="6" xfId="0" applyFont="1" applyBorder="1" applyAlignment="1">
      <alignment horizontal="center" wrapText="1"/>
    </xf>
    <xf numFmtId="0" fontId="20" fillId="0" borderId="6" xfId="0" applyFont="1" applyBorder="1"/>
    <xf numFmtId="167" fontId="20" fillId="0" borderId="6" xfId="0" applyNumberFormat="1" applyFont="1" applyBorder="1"/>
    <xf numFmtId="9" fontId="20" fillId="0" borderId="6" xfId="0" applyNumberFormat="1" applyFont="1" applyBorder="1"/>
    <xf numFmtId="0" fontId="20" fillId="0" borderId="6" xfId="0" quotePrefix="1" applyFont="1" applyBorder="1" applyAlignment="1">
      <alignment horizontal="center" wrapText="1"/>
    </xf>
    <xf numFmtId="0" fontId="20" fillId="2" borderId="6" xfId="0" applyFont="1" applyFill="1" applyBorder="1" applyAlignment="1">
      <alignment wrapText="1"/>
    </xf>
    <xf numFmtId="0" fontId="20" fillId="2" borderId="6" xfId="0" applyFont="1" applyFill="1" applyBorder="1" applyAlignment="1">
      <alignment horizontal="center"/>
    </xf>
    <xf numFmtId="0" fontId="20" fillId="2" borderId="6" xfId="0" applyFont="1" applyFill="1" applyBorder="1" applyAlignment="1">
      <alignment horizontal="center" wrapText="1"/>
    </xf>
    <xf numFmtId="0" fontId="20" fillId="2" borderId="6" xfId="0" applyFont="1" applyFill="1" applyBorder="1"/>
    <xf numFmtId="2" fontId="20" fillId="0" borderId="0" xfId="0" applyNumberFormat="1" applyFont="1"/>
    <xf numFmtId="2" fontId="20" fillId="0" borderId="6" xfId="0" applyNumberFormat="1" applyFont="1" applyBorder="1"/>
    <xf numFmtId="165" fontId="20" fillId="0" borderId="6" xfId="0" applyNumberFormat="1" applyFont="1" applyBorder="1"/>
    <xf numFmtId="1" fontId="20" fillId="0" borderId="6" xfId="0" applyNumberFormat="1" applyFont="1" applyBorder="1"/>
    <xf numFmtId="168" fontId="20" fillId="0" borderId="6" xfId="0" applyNumberFormat="1" applyFont="1" applyBorder="1"/>
    <xf numFmtId="49" fontId="20" fillId="0" borderId="6" xfId="0" applyNumberFormat="1" applyFont="1" applyBorder="1"/>
    <xf numFmtId="1" fontId="20" fillId="0" borderId="0" xfId="0" applyNumberFormat="1" applyFont="1"/>
    <xf numFmtId="0" fontId="20" fillId="13" borderId="0" xfId="0" applyFont="1" applyFill="1"/>
    <xf numFmtId="0" fontId="21" fillId="0" borderId="0" xfId="0" applyFont="1" applyAlignment="1">
      <alignment wrapText="1"/>
    </xf>
    <xf numFmtId="0" fontId="19" fillId="2" borderId="7" xfId="0" applyFont="1" applyFill="1" applyBorder="1"/>
    <xf numFmtId="0" fontId="20" fillId="2" borderId="41" xfId="0" applyFont="1" applyFill="1" applyBorder="1"/>
    <xf numFmtId="0" fontId="20" fillId="2" borderId="42" xfId="0" applyFont="1" applyFill="1" applyBorder="1"/>
    <xf numFmtId="9" fontId="20" fillId="0" borderId="6" xfId="0" applyNumberFormat="1" applyFont="1" applyBorder="1" applyAlignment="1">
      <alignment wrapText="1"/>
    </xf>
    <xf numFmtId="0" fontId="19" fillId="0" borderId="6" xfId="0" applyFont="1" applyBorder="1"/>
    <xf numFmtId="0" fontId="22" fillId="0" borderId="0" xfId="0" applyFont="1"/>
    <xf numFmtId="0" fontId="23" fillId="0" borderId="0" xfId="0" applyFont="1"/>
    <xf numFmtId="0" fontId="20" fillId="2" borderId="7" xfId="0" applyFont="1" applyFill="1" applyBorder="1"/>
    <xf numFmtId="0" fontId="20" fillId="0" borderId="43" xfId="0" applyFont="1" applyBorder="1" applyAlignment="1">
      <alignment wrapText="1"/>
    </xf>
    <xf numFmtId="9" fontId="20" fillId="0" borderId="0" xfId="0" applyNumberFormat="1" applyFont="1" applyAlignment="1">
      <alignment wrapText="1"/>
    </xf>
    <xf numFmtId="9" fontId="20" fillId="0" borderId="0" xfId="0" applyNumberFormat="1" applyFont="1"/>
    <xf numFmtId="9" fontId="20" fillId="0" borderId="44" xfId="0" applyNumberFormat="1" applyFont="1" applyBorder="1"/>
    <xf numFmtId="0" fontId="22" fillId="0" borderId="45" xfId="0" applyFont="1" applyBorder="1"/>
    <xf numFmtId="0" fontId="22" fillId="0" borderId="46" xfId="0" applyFont="1" applyBorder="1"/>
    <xf numFmtId="0" fontId="22" fillId="0" borderId="46" xfId="0" applyFont="1" applyBorder="1" applyAlignment="1">
      <alignment wrapText="1"/>
    </xf>
    <xf numFmtId="9" fontId="24" fillId="0" borderId="46" xfId="0" applyNumberFormat="1" applyFont="1" applyBorder="1"/>
    <xf numFmtId="9" fontId="24" fillId="0" borderId="47" xfId="0" applyNumberFormat="1" applyFont="1" applyBorder="1"/>
    <xf numFmtId="0" fontId="20" fillId="0" borderId="41" xfId="0" applyFont="1" applyBorder="1"/>
    <xf numFmtId="0" fontId="20" fillId="0" borderId="41" xfId="0" applyFont="1" applyBorder="1" applyAlignment="1">
      <alignment wrapText="1"/>
    </xf>
    <xf numFmtId="0" fontId="20" fillId="0" borderId="42" xfId="0" applyFont="1" applyBorder="1"/>
    <xf numFmtId="49" fontId="20" fillId="0" borderId="6" xfId="0" applyNumberFormat="1" applyFont="1" applyBorder="1" applyAlignment="1">
      <alignment wrapText="1"/>
    </xf>
    <xf numFmtId="169" fontId="20" fillId="0" borderId="6" xfId="3" applyNumberFormat="1" applyFont="1" applyBorder="1"/>
    <xf numFmtId="1" fontId="20" fillId="0" borderId="6" xfId="0" applyNumberFormat="1" applyFont="1" applyBorder="1" applyAlignment="1">
      <alignment horizontal="center"/>
    </xf>
    <xf numFmtId="0" fontId="20" fillId="0" borderId="7" xfId="0" applyFont="1" applyBorder="1" applyAlignment="1">
      <alignment horizontal="center"/>
    </xf>
    <xf numFmtId="0" fontId="20" fillId="0" borderId="19" xfId="0" applyFont="1" applyBorder="1" applyAlignment="1">
      <alignment horizontal="center" wrapText="1"/>
    </xf>
    <xf numFmtId="0" fontId="20" fillId="0" borderId="48" xfId="0" applyFont="1" applyBorder="1" applyAlignment="1">
      <alignment horizontal="center" wrapText="1"/>
    </xf>
    <xf numFmtId="0" fontId="20" fillId="0" borderId="45" xfId="0" applyFont="1" applyBorder="1" applyAlignment="1">
      <alignment horizontal="center" wrapText="1"/>
    </xf>
    <xf numFmtId="0" fontId="20" fillId="0" borderId="19" xfId="0" applyFont="1" applyBorder="1" applyAlignment="1">
      <alignment horizontal="center"/>
    </xf>
    <xf numFmtId="49" fontId="20" fillId="0" borderId="6" xfId="0" applyNumberFormat="1" applyFont="1" applyBorder="1" applyAlignment="1">
      <alignment horizontal="center"/>
    </xf>
    <xf numFmtId="0" fontId="20" fillId="2" borderId="49" xfId="0" applyFont="1" applyFill="1" applyBorder="1"/>
    <xf numFmtId="0" fontId="20" fillId="2" borderId="50" xfId="0" applyFont="1" applyFill="1" applyBorder="1" applyAlignment="1">
      <alignment wrapText="1"/>
    </xf>
    <xf numFmtId="1" fontId="20" fillId="0" borderId="6" xfId="0" applyNumberFormat="1" applyFont="1" applyBorder="1" applyAlignment="1">
      <alignment wrapText="1"/>
    </xf>
    <xf numFmtId="10" fontId="20" fillId="0" borderId="6" xfId="0" applyNumberFormat="1" applyFont="1" applyBorder="1"/>
    <xf numFmtId="0" fontId="20" fillId="0" borderId="0" xfId="0" applyFont="1" applyAlignment="1">
      <alignment horizontal="right"/>
    </xf>
    <xf numFmtId="1" fontId="20" fillId="0" borderId="6" xfId="0" applyNumberFormat="1" applyFont="1" applyBorder="1" applyAlignment="1">
      <alignment horizontal="center" wrapText="1"/>
    </xf>
    <xf numFmtId="0" fontId="20" fillId="0" borderId="0" xfId="0" applyFont="1" applyAlignment="1">
      <alignment horizontal="center"/>
    </xf>
    <xf numFmtId="1" fontId="20" fillId="11" borderId="6" xfId="0" applyNumberFormat="1" applyFont="1" applyFill="1" applyBorder="1"/>
    <xf numFmtId="0" fontId="19" fillId="11" borderId="6" xfId="0" applyFont="1" applyFill="1" applyBorder="1" applyAlignment="1">
      <alignment wrapText="1"/>
    </xf>
    <xf numFmtId="1" fontId="20" fillId="14" borderId="6" xfId="0" applyNumberFormat="1" applyFont="1" applyFill="1" applyBorder="1" applyAlignment="1">
      <alignment horizontal="center"/>
    </xf>
    <xf numFmtId="0" fontId="19" fillId="14" borderId="6" xfId="0" applyFont="1" applyFill="1" applyBorder="1" applyAlignment="1">
      <alignment horizontal="center" wrapText="1"/>
    </xf>
    <xf numFmtId="44" fontId="20" fillId="0" borderId="6" xfId="4" applyFont="1" applyBorder="1"/>
    <xf numFmtId="44" fontId="20" fillId="0" borderId="6" xfId="4" applyFont="1" applyBorder="1" applyAlignment="1">
      <alignment wrapText="1"/>
    </xf>
    <xf numFmtId="0" fontId="20" fillId="0" borderId="7" xfId="0" applyFont="1" applyBorder="1" applyAlignment="1">
      <alignment wrapText="1"/>
    </xf>
    <xf numFmtId="1" fontId="0" fillId="0" borderId="24" xfId="0" applyNumberFormat="1" applyBorder="1" applyAlignment="1">
      <alignment vertical="top"/>
    </xf>
    <xf numFmtId="0" fontId="0" fillId="13" borderId="26" xfId="0" applyFill="1" applyBorder="1" applyAlignment="1">
      <alignment vertical="top" wrapText="1"/>
    </xf>
    <xf numFmtId="0" fontId="0" fillId="13" borderId="26" xfId="0" applyFill="1" applyBorder="1" applyAlignment="1">
      <alignment vertical="center" wrapText="1"/>
    </xf>
    <xf numFmtId="1" fontId="20" fillId="15" borderId="6" xfId="0" applyNumberFormat="1" applyFont="1" applyFill="1" applyBorder="1"/>
    <xf numFmtId="0" fontId="20" fillId="15" borderId="0" xfId="0" applyFont="1" applyFill="1"/>
    <xf numFmtId="170" fontId="20" fillId="15" borderId="0" xfId="3" applyNumberFormat="1" applyFont="1" applyFill="1"/>
    <xf numFmtId="0" fontId="20" fillId="15" borderId="0" xfId="0" applyFont="1" applyFill="1" applyAlignment="1">
      <alignment wrapText="1"/>
    </xf>
    <xf numFmtId="0" fontId="20" fillId="5" borderId="6" xfId="0" applyFont="1" applyFill="1" applyBorder="1" applyAlignment="1">
      <alignment horizontal="center" wrapText="1"/>
    </xf>
    <xf numFmtId="0" fontId="20" fillId="5" borderId="6" xfId="0" applyFont="1" applyFill="1" applyBorder="1" applyAlignment="1">
      <alignment horizontal="center"/>
    </xf>
    <xf numFmtId="0" fontId="19" fillId="5" borderId="0" xfId="0" applyFont="1" applyFill="1" applyAlignment="1">
      <alignment wrapText="1"/>
    </xf>
    <xf numFmtId="1" fontId="20" fillId="5" borderId="6" xfId="0" applyNumberFormat="1" applyFont="1" applyFill="1" applyBorder="1"/>
    <xf numFmtId="49" fontId="20" fillId="5" borderId="6" xfId="0" applyNumberFormat="1" applyFont="1" applyFill="1" applyBorder="1" applyAlignment="1">
      <alignment horizontal="center"/>
    </xf>
    <xf numFmtId="170" fontId="20" fillId="5" borderId="0" xfId="3" applyNumberFormat="1" applyFont="1" applyFill="1"/>
    <xf numFmtId="2" fontId="20" fillId="5" borderId="6" xfId="0" applyNumberFormat="1" applyFont="1" applyFill="1" applyBorder="1"/>
    <xf numFmtId="165" fontId="20" fillId="5" borderId="6" xfId="0" applyNumberFormat="1" applyFont="1" applyFill="1" applyBorder="1"/>
    <xf numFmtId="0" fontId="20" fillId="5" borderId="6" xfId="0" applyFont="1" applyFill="1" applyBorder="1"/>
    <xf numFmtId="10" fontId="0" fillId="0" borderId="28" xfId="1" applyNumberFormat="1" applyFont="1" applyBorder="1" applyAlignment="1">
      <alignment horizontal="left" vertical="top"/>
    </xf>
    <xf numFmtId="171" fontId="2" fillId="0" borderId="0" xfId="1" applyNumberFormat="1" applyFont="1" applyFill="1" applyBorder="1" applyAlignment="1">
      <alignment horizontal="left" vertical="top"/>
    </xf>
    <xf numFmtId="164" fontId="2" fillId="2" borderId="20" xfId="0" applyNumberFormat="1" applyFont="1" applyFill="1" applyBorder="1" applyAlignment="1">
      <alignment horizontal="left" vertical="top"/>
    </xf>
    <xf numFmtId="164" fontId="0" fillId="0" borderId="28" xfId="0" applyNumberFormat="1" applyBorder="1" applyAlignment="1">
      <alignment horizontal="left" vertical="top"/>
    </xf>
    <xf numFmtId="164" fontId="0" fillId="0" borderId="26" xfId="0" applyNumberFormat="1" applyBorder="1" applyAlignment="1">
      <alignment horizontal="left" vertical="top"/>
    </xf>
    <xf numFmtId="164" fontId="0" fillId="0" borderId="31" xfId="0" applyNumberFormat="1" applyBorder="1" applyAlignment="1">
      <alignment horizontal="left" vertical="top"/>
    </xf>
    <xf numFmtId="164" fontId="2" fillId="2" borderId="20" xfId="1" applyNumberFormat="1" applyFont="1" applyFill="1" applyBorder="1" applyAlignment="1">
      <alignment horizontal="left" vertical="top"/>
    </xf>
    <xf numFmtId="10" fontId="1" fillId="0" borderId="28" xfId="1" applyNumberFormat="1" applyFont="1" applyBorder="1" applyAlignment="1">
      <alignment horizontal="left" vertical="top"/>
    </xf>
    <xf numFmtId="0" fontId="0" fillId="13" borderId="31" xfId="0" applyFill="1" applyBorder="1" applyAlignment="1">
      <alignment vertical="top"/>
    </xf>
    <xf numFmtId="0" fontId="20" fillId="2" borderId="7" xfId="0" applyFont="1" applyFill="1" applyBorder="1" applyAlignment="1">
      <alignment wrapText="1"/>
    </xf>
    <xf numFmtId="0" fontId="20" fillId="2" borderId="42" xfId="0" applyFont="1" applyFill="1" applyBorder="1" applyAlignment="1">
      <alignment horizontal="center" wrapText="1"/>
    </xf>
    <xf numFmtId="168" fontId="20" fillId="5" borderId="42" xfId="0" applyNumberFormat="1" applyFont="1" applyFill="1" applyBorder="1" applyAlignment="1">
      <alignment horizontal="center"/>
    </xf>
    <xf numFmtId="0" fontId="21" fillId="0" borderId="0" xfId="0" applyFont="1" applyAlignment="1">
      <alignment horizontal="center" vertical="center"/>
    </xf>
    <xf numFmtId="0" fontId="20" fillId="0" borderId="0" xfId="0" applyFont="1" applyAlignment="1">
      <alignment horizontal="center" vertical="center"/>
    </xf>
    <xf numFmtId="0" fontId="20" fillId="0" borderId="0" xfId="0" quotePrefix="1" applyFont="1" applyAlignment="1">
      <alignment horizontal="center" vertical="center"/>
    </xf>
    <xf numFmtId="1" fontId="30" fillId="5" borderId="6" xfId="0" applyNumberFormat="1" applyFont="1" applyFill="1" applyBorder="1"/>
    <xf numFmtId="9" fontId="20" fillId="0" borderId="6" xfId="0" applyNumberFormat="1" applyFont="1" applyBorder="1" applyAlignment="1">
      <alignment horizontal="center"/>
    </xf>
    <xf numFmtId="9" fontId="24" fillId="5" borderId="47" xfId="0" applyNumberFormat="1" applyFont="1" applyFill="1" applyBorder="1"/>
    <xf numFmtId="9" fontId="20" fillId="5" borderId="0" xfId="0" applyNumberFormat="1" applyFont="1" applyFill="1"/>
    <xf numFmtId="0" fontId="20" fillId="5" borderId="0" xfId="0" applyFont="1" applyFill="1"/>
    <xf numFmtId="9" fontId="24" fillId="5" borderId="46" xfId="0" applyNumberFormat="1" applyFont="1" applyFill="1" applyBorder="1"/>
    <xf numFmtId="166" fontId="20" fillId="0" borderId="6" xfId="0" applyNumberFormat="1" applyFont="1" applyBorder="1"/>
    <xf numFmtId="44" fontId="20" fillId="13" borderId="6" xfId="4" applyFont="1" applyFill="1" applyBorder="1"/>
    <xf numFmtId="44" fontId="20" fillId="13" borderId="42" xfId="0" applyNumberFormat="1" applyFont="1" applyFill="1" applyBorder="1" applyAlignment="1">
      <alignment wrapText="1"/>
    </xf>
    <xf numFmtId="0" fontId="30" fillId="0" borderId="0" xfId="0" applyFont="1"/>
    <xf numFmtId="0" fontId="19" fillId="13" borderId="0" xfId="0" applyFont="1" applyFill="1" applyAlignment="1">
      <alignment wrapText="1"/>
    </xf>
    <xf numFmtId="1" fontId="20" fillId="0" borderId="6" xfId="1" applyNumberFormat="1" applyFont="1" applyBorder="1"/>
    <xf numFmtId="0" fontId="34" fillId="0" borderId="0" xfId="0" applyFont="1"/>
    <xf numFmtId="0" fontId="35" fillId="13" borderId="0" xfId="0" applyFont="1" applyFill="1"/>
    <xf numFmtId="0" fontId="34" fillId="13" borderId="0" xfId="0" applyFont="1" applyFill="1"/>
    <xf numFmtId="0" fontId="35" fillId="0" borderId="0" xfId="0" applyFont="1"/>
    <xf numFmtId="0" fontId="34" fillId="0" borderId="0" xfId="0" applyFont="1" applyAlignment="1">
      <alignment wrapText="1"/>
    </xf>
    <xf numFmtId="0" fontId="36" fillId="0" borderId="0" xfId="0" applyFont="1"/>
    <xf numFmtId="0" fontId="37" fillId="0" borderId="0" xfId="0" applyFont="1"/>
    <xf numFmtId="0" fontId="30" fillId="5" borderId="6" xfId="0" applyFont="1" applyFill="1" applyBorder="1"/>
    <xf numFmtId="1" fontId="30" fillId="5" borderId="0" xfId="0" applyNumberFormat="1" applyFont="1" applyFill="1"/>
    <xf numFmtId="1" fontId="30" fillId="0" borderId="6" xfId="0" applyNumberFormat="1" applyFont="1" applyBorder="1"/>
    <xf numFmtId="1" fontId="20" fillId="5" borderId="6" xfId="0" applyNumberFormat="1" applyFont="1" applyFill="1" applyBorder="1" applyAlignment="1">
      <alignment wrapText="1"/>
    </xf>
    <xf numFmtId="9" fontId="0" fillId="0" borderId="0" xfId="0" applyNumberFormat="1"/>
    <xf numFmtId="0" fontId="31" fillId="0" borderId="0" xfId="0" applyFont="1"/>
    <xf numFmtId="0" fontId="20" fillId="0" borderId="49" xfId="0" applyFont="1" applyBorder="1" applyAlignment="1">
      <alignment horizontal="center" wrapText="1"/>
    </xf>
    <xf numFmtId="0" fontId="30" fillId="0" borderId="0" xfId="0" applyFont="1" applyAlignment="1">
      <alignment wrapText="1"/>
    </xf>
    <xf numFmtId="0" fontId="30" fillId="0" borderId="0" xfId="0" quotePrefix="1" applyFont="1"/>
    <xf numFmtId="165" fontId="30" fillId="0" borderId="0" xfId="0" applyNumberFormat="1" applyFont="1"/>
    <xf numFmtId="0" fontId="10" fillId="0" borderId="0" xfId="0" applyFont="1"/>
    <xf numFmtId="0" fontId="38" fillId="0" borderId="0" xfId="0" applyFont="1" applyAlignment="1">
      <alignment horizontal="center" vertical="center" wrapText="1"/>
    </xf>
    <xf numFmtId="0" fontId="38" fillId="0" borderId="0" xfId="0" applyFont="1" applyAlignment="1">
      <alignment horizontal="left" vertical="center"/>
    </xf>
    <xf numFmtId="0" fontId="39" fillId="2" borderId="6" xfId="0" applyFont="1" applyFill="1" applyBorder="1" applyAlignment="1">
      <alignment horizontal="center" wrapText="1"/>
    </xf>
    <xf numFmtId="1" fontId="39" fillId="0" borderId="6" xfId="0" applyNumberFormat="1" applyFont="1" applyBorder="1" applyAlignment="1">
      <alignment horizontal="center" wrapText="1"/>
    </xf>
    <xf numFmtId="0" fontId="25" fillId="0" borderId="0" xfId="0" applyFont="1" applyAlignment="1">
      <alignment horizontal="left" vertical="center"/>
    </xf>
    <xf numFmtId="1" fontId="20" fillId="15" borderId="6" xfId="0" applyNumberFormat="1" applyFont="1" applyFill="1" applyBorder="1" applyAlignment="1">
      <alignment wrapText="1"/>
    </xf>
    <xf numFmtId="0" fontId="20" fillId="15" borderId="0" xfId="0" applyFont="1" applyFill="1" applyAlignment="1">
      <alignment horizontal="right"/>
    </xf>
    <xf numFmtId="2" fontId="20" fillId="11" borderId="6" xfId="0" applyNumberFormat="1" applyFont="1" applyFill="1" applyBorder="1" applyAlignment="1">
      <alignment horizontal="center"/>
    </xf>
    <xf numFmtId="1" fontId="20" fillId="11" borderId="6" xfId="0" applyNumberFormat="1" applyFont="1" applyFill="1" applyBorder="1" applyAlignment="1">
      <alignment horizontal="center"/>
    </xf>
    <xf numFmtId="0" fontId="0" fillId="13" borderId="26" xfId="0" applyFill="1" applyBorder="1" applyAlignment="1">
      <alignment horizontal="left" vertical="top"/>
    </xf>
    <xf numFmtId="0" fontId="0" fillId="13" borderId="25" xfId="0" applyFill="1" applyBorder="1" applyAlignment="1">
      <alignment horizontal="left" vertical="top"/>
    </xf>
    <xf numFmtId="0" fontId="0" fillId="0" borderId="32" xfId="0" applyBorder="1" applyAlignment="1">
      <alignment horizontal="left" vertical="top"/>
    </xf>
    <xf numFmtId="0" fontId="10" fillId="13" borderId="28" xfId="0" applyFont="1" applyFill="1" applyBorder="1" applyAlignment="1">
      <alignment horizontal="left" vertical="top"/>
    </xf>
    <xf numFmtId="0" fontId="0" fillId="13" borderId="32" xfId="0" applyFill="1" applyBorder="1" applyAlignment="1">
      <alignment horizontal="left" vertical="top"/>
    </xf>
    <xf numFmtId="9" fontId="0" fillId="13" borderId="51" xfId="0" applyNumberFormat="1" applyFill="1" applyBorder="1" applyAlignment="1">
      <alignment vertical="top"/>
    </xf>
    <xf numFmtId="9" fontId="0" fillId="13" borderId="41" xfId="0" applyNumberFormat="1" applyFill="1" applyBorder="1" applyAlignment="1">
      <alignment vertical="top"/>
    </xf>
    <xf numFmtId="0" fontId="0" fillId="13" borderId="32" xfId="0" applyFill="1" applyBorder="1" applyAlignment="1">
      <alignment vertical="top"/>
    </xf>
    <xf numFmtId="1" fontId="0" fillId="13" borderId="28" xfId="0" applyNumberFormat="1" applyFill="1" applyBorder="1" applyAlignment="1">
      <alignment vertical="top"/>
    </xf>
    <xf numFmtId="0" fontId="0" fillId="13" borderId="28" xfId="0" applyFill="1" applyBorder="1" applyAlignment="1">
      <alignment horizontal="left" vertical="top"/>
    </xf>
    <xf numFmtId="0" fontId="0" fillId="0" borderId="24" xfId="0" applyBorder="1" applyAlignment="1">
      <alignment vertical="top"/>
    </xf>
    <xf numFmtId="1" fontId="20" fillId="14" borderId="6" xfId="0" applyNumberFormat="1" applyFont="1" applyFill="1" applyBorder="1" applyAlignment="1">
      <alignment horizontal="center" wrapText="1"/>
    </xf>
    <xf numFmtId="1" fontId="20" fillId="11" borderId="6" xfId="0" applyNumberFormat="1" applyFont="1" applyFill="1" applyBorder="1" applyAlignment="1">
      <alignment horizontal="center" wrapText="1"/>
    </xf>
    <xf numFmtId="0" fontId="0" fillId="0" borderId="52" xfId="0" applyBorder="1" applyAlignment="1">
      <alignment horizontal="right" wrapText="1"/>
    </xf>
    <xf numFmtId="0" fontId="0" fillId="0" borderId="52" xfId="0" applyBorder="1" applyAlignment="1">
      <alignment wrapText="1"/>
    </xf>
    <xf numFmtId="0" fontId="0" fillId="0" borderId="52" xfId="0" applyBorder="1" applyAlignment="1">
      <alignment horizontal="left" wrapText="1"/>
    </xf>
    <xf numFmtId="0" fontId="0" fillId="0" borderId="52" xfId="0" applyBorder="1" applyAlignment="1">
      <alignment vertical="center" wrapText="1"/>
    </xf>
    <xf numFmtId="0" fontId="0" fillId="9" borderId="32" xfId="0" applyFill="1" applyBorder="1" applyAlignment="1">
      <alignment horizontal="center" vertical="center" wrapText="1"/>
    </xf>
    <xf numFmtId="0" fontId="0" fillId="11" borderId="32" xfId="0" applyFill="1" applyBorder="1" applyAlignment="1">
      <alignment horizontal="center" vertical="center" wrapText="1"/>
    </xf>
    <xf numFmtId="2" fontId="0" fillId="0" borderId="52" xfId="0" applyNumberFormat="1" applyBorder="1" applyAlignment="1">
      <alignment wrapText="1"/>
    </xf>
    <xf numFmtId="2" fontId="0" fillId="0" borderId="25" xfId="0" applyNumberFormat="1" applyBorder="1" applyAlignment="1">
      <alignment wrapText="1"/>
    </xf>
    <xf numFmtId="1" fontId="0" fillId="0" borderId="26" xfId="0" applyNumberFormat="1" applyBorder="1" applyAlignment="1">
      <alignment vertical="top" wrapText="1"/>
    </xf>
    <xf numFmtId="2" fontId="0" fillId="0" borderId="26" xfId="0" applyNumberFormat="1" applyBorder="1" applyAlignment="1">
      <alignment horizontal="right" vertical="center" wrapText="1"/>
    </xf>
    <xf numFmtId="165" fontId="0" fillId="0" borderId="26" xfId="0" applyNumberFormat="1" applyBorder="1" applyAlignment="1">
      <alignment horizontal="right" vertical="center" wrapText="1"/>
    </xf>
    <xf numFmtId="1" fontId="0" fillId="0" borderId="26" xfId="0" applyNumberFormat="1" applyBorder="1" applyAlignment="1">
      <alignment horizontal="right" vertical="center" wrapText="1"/>
    </xf>
    <xf numFmtId="0" fontId="0" fillId="13" borderId="26" xfId="0" applyFill="1" applyBorder="1" applyAlignment="1">
      <alignment horizontal="right" vertical="center" wrapText="1"/>
    </xf>
    <xf numFmtId="9" fontId="0" fillId="0" borderId="26" xfId="0" applyNumberFormat="1" applyBorder="1" applyAlignment="1">
      <alignment vertical="top" wrapText="1"/>
    </xf>
    <xf numFmtId="10" fontId="0" fillId="0" borderId="26" xfId="0" applyNumberFormat="1" applyBorder="1" applyAlignment="1">
      <alignment horizontal="right" vertical="center" wrapText="1"/>
    </xf>
    <xf numFmtId="9" fontId="0" fillId="0" borderId="26" xfId="0" applyNumberFormat="1" applyBorder="1" applyAlignment="1">
      <alignment horizontal="right" vertical="center" wrapText="1"/>
    </xf>
    <xf numFmtId="0" fontId="0" fillId="0" borderId="7" xfId="0" applyBorder="1" applyAlignment="1">
      <alignment vertical="center"/>
    </xf>
    <xf numFmtId="0" fontId="0" fillId="0" borderId="6" xfId="0" applyBorder="1" applyAlignment="1">
      <alignment vertical="center" wrapText="1"/>
    </xf>
    <xf numFmtId="0" fontId="0" fillId="0" borderId="6" xfId="0" applyBorder="1"/>
    <xf numFmtId="10" fontId="0" fillId="0" borderId="6" xfId="1" applyNumberFormat="1" applyFont="1" applyBorder="1"/>
    <xf numFmtId="2" fontId="0" fillId="0" borderId="0" xfId="0" applyNumberFormat="1" applyAlignment="1">
      <alignment vertical="top"/>
    </xf>
    <xf numFmtId="2" fontId="0" fillId="0" borderId="6" xfId="0" applyNumberFormat="1" applyBorder="1" applyAlignment="1">
      <alignment vertical="top"/>
    </xf>
    <xf numFmtId="9" fontId="0" fillId="0" borderId="6" xfId="0" applyNumberFormat="1" applyBorder="1" applyAlignment="1">
      <alignment vertical="top"/>
    </xf>
    <xf numFmtId="0" fontId="0" fillId="0" borderId="53" xfId="0" applyBorder="1" applyAlignment="1">
      <alignment vertical="center"/>
    </xf>
    <xf numFmtId="10" fontId="0" fillId="0" borderId="54" xfId="1" applyNumberFormat="1" applyFont="1" applyFill="1" applyBorder="1" applyAlignment="1">
      <alignment vertical="center"/>
    </xf>
    <xf numFmtId="2" fontId="0" fillId="0" borderId="54" xfId="0" applyNumberFormat="1" applyBorder="1" applyAlignment="1">
      <alignment vertical="center"/>
    </xf>
    <xf numFmtId="9" fontId="0" fillId="0" borderId="54" xfId="0" applyNumberFormat="1" applyBorder="1" applyAlignment="1">
      <alignment vertical="center"/>
    </xf>
    <xf numFmtId="0" fontId="0" fillId="0" borderId="55" xfId="0" applyBorder="1" applyAlignment="1">
      <alignment vertical="center" wrapText="1"/>
    </xf>
    <xf numFmtId="0" fontId="0" fillId="0" borderId="12" xfId="0" applyBorder="1"/>
    <xf numFmtId="0" fontId="0" fillId="0" borderId="56" xfId="0" applyBorder="1" applyAlignment="1">
      <alignment vertical="top"/>
    </xf>
    <xf numFmtId="0" fontId="0" fillId="0" borderId="13" xfId="0" applyBorder="1"/>
    <xf numFmtId="0" fontId="0" fillId="0" borderId="14" xfId="0" applyBorder="1"/>
    <xf numFmtId="2" fontId="0" fillId="0" borderId="14" xfId="0" applyNumberFormat="1" applyBorder="1" applyAlignment="1">
      <alignment vertical="top"/>
    </xf>
    <xf numFmtId="9" fontId="0" fillId="0" borderId="14" xfId="0" applyNumberFormat="1" applyBorder="1" applyAlignment="1">
      <alignment vertical="top"/>
    </xf>
    <xf numFmtId="0" fontId="0" fillId="0" borderId="57" xfId="0" applyBorder="1" applyAlignment="1">
      <alignment vertical="top"/>
    </xf>
    <xf numFmtId="0" fontId="2" fillId="0" borderId="16" xfId="0" applyFont="1" applyBorder="1"/>
    <xf numFmtId="10" fontId="0" fillId="0" borderId="18" xfId="1" applyNumberFormat="1" applyFont="1" applyBorder="1"/>
    <xf numFmtId="10" fontId="0" fillId="0" borderId="26" xfId="0" applyNumberFormat="1" applyBorder="1" applyAlignment="1">
      <alignment vertical="top" wrapText="1"/>
    </xf>
    <xf numFmtId="164" fontId="0" fillId="13" borderId="6" xfId="0" applyNumberFormat="1" applyFill="1" applyBorder="1" applyAlignment="1">
      <alignment vertical="center"/>
    </xf>
    <xf numFmtId="164" fontId="0" fillId="13" borderId="26" xfId="0" applyNumberFormat="1" applyFill="1" applyBorder="1" applyAlignment="1">
      <alignment horizontal="right" vertical="center" wrapText="1"/>
    </xf>
    <xf numFmtId="0" fontId="0" fillId="13" borderId="6" xfId="0" applyFill="1" applyBorder="1" applyAlignment="1">
      <alignment vertical="center" wrapText="1"/>
    </xf>
    <xf numFmtId="0" fontId="0" fillId="0" borderId="6" xfId="0" applyBorder="1" applyAlignment="1">
      <alignment horizontal="center" vertical="center" wrapText="1"/>
    </xf>
    <xf numFmtId="2" fontId="0" fillId="0" borderId="6" xfId="0" applyNumberFormat="1" applyBorder="1" applyAlignment="1">
      <alignment horizontal="center" vertical="center" wrapText="1"/>
    </xf>
    <xf numFmtId="0" fontId="0" fillId="0" borderId="6" xfId="0" applyBorder="1" applyAlignment="1">
      <alignment horizontal="left" vertical="center" wrapText="1"/>
    </xf>
    <xf numFmtId="0" fontId="2" fillId="2" borderId="53"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0" fillId="0" borderId="12" xfId="0" applyBorder="1" applyAlignment="1">
      <alignment vertical="center" wrapText="1"/>
    </xf>
    <xf numFmtId="0" fontId="0" fillId="0" borderId="56" xfId="0" applyBorder="1" applyAlignment="1">
      <alignment horizontal="left" vertical="center" wrapText="1"/>
    </xf>
    <xf numFmtId="0" fontId="0" fillId="0" borderId="13" xfId="0" applyBorder="1" applyAlignment="1">
      <alignment vertical="center" wrapText="1"/>
    </xf>
    <xf numFmtId="2" fontId="0" fillId="0" borderId="14" xfId="0" applyNumberFormat="1" applyBorder="1" applyAlignment="1">
      <alignment horizontal="center" vertical="center" wrapText="1"/>
    </xf>
    <xf numFmtId="0" fontId="0" fillId="0" borderId="14" xfId="0" applyBorder="1" applyAlignment="1">
      <alignment horizontal="center" vertical="center" wrapText="1"/>
    </xf>
    <xf numFmtId="2" fontId="0" fillId="0" borderId="0" xfId="0" applyNumberFormat="1" applyAlignment="1">
      <alignment horizontal="center" wrapText="1"/>
    </xf>
    <xf numFmtId="0" fontId="0" fillId="0" borderId="14" xfId="0" applyBorder="1" applyAlignment="1">
      <alignment horizontal="left" vertical="center" wrapText="1"/>
    </xf>
    <xf numFmtId="0" fontId="0" fillId="0" borderId="57" xfId="0" applyBorder="1" applyAlignment="1">
      <alignment horizontal="left" vertical="center" wrapText="1"/>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60" xfId="0" applyFont="1" applyFill="1" applyBorder="1" applyAlignment="1">
      <alignment horizontal="center" vertical="center" wrapText="1"/>
    </xf>
    <xf numFmtId="0" fontId="2" fillId="2" borderId="61" xfId="0" applyFont="1" applyFill="1" applyBorder="1" applyAlignment="1">
      <alignment horizontal="center" vertical="center"/>
    </xf>
    <xf numFmtId="0" fontId="0" fillId="0" borderId="53" xfId="0" applyBorder="1" applyAlignment="1">
      <alignment vertical="center" wrapText="1"/>
    </xf>
    <xf numFmtId="2" fontId="0" fillId="0" borderId="54" xfId="0" applyNumberFormat="1" applyBorder="1" applyAlignment="1">
      <alignment horizontal="center" vertical="center" wrapText="1"/>
    </xf>
    <xf numFmtId="0" fontId="0" fillId="0" borderId="5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2" fontId="0" fillId="0" borderId="48" xfId="0" applyNumberFormat="1" applyBorder="1" applyAlignment="1">
      <alignment horizontal="center" vertical="center" wrapText="1"/>
    </xf>
    <xf numFmtId="1" fontId="0" fillId="0" borderId="62" xfId="0" applyNumberFormat="1" applyBorder="1" applyAlignment="1">
      <alignment vertical="top"/>
    </xf>
    <xf numFmtId="0" fontId="0" fillId="0" borderId="62" xfId="0" applyBorder="1" applyAlignment="1">
      <alignment horizontal="left" vertical="top"/>
    </xf>
    <xf numFmtId="2" fontId="0" fillId="0" borderId="62" xfId="0" applyNumberFormat="1" applyBorder="1" applyAlignment="1">
      <alignment vertical="top"/>
    </xf>
    <xf numFmtId="1" fontId="0" fillId="0" borderId="31" xfId="0" applyNumberFormat="1" applyBorder="1" applyAlignment="1">
      <alignment vertical="top"/>
    </xf>
    <xf numFmtId="1" fontId="0" fillId="2" borderId="52" xfId="0" applyNumberFormat="1" applyFill="1" applyBorder="1" applyAlignment="1">
      <alignment vertical="top"/>
    </xf>
    <xf numFmtId="0" fontId="0" fillId="2" borderId="52" xfId="0" applyFill="1" applyBorder="1" applyAlignment="1">
      <alignment horizontal="left" vertical="top"/>
    </xf>
    <xf numFmtId="0" fontId="0" fillId="0" borderId="63" xfId="0" applyBorder="1" applyAlignment="1">
      <alignment vertical="top"/>
    </xf>
    <xf numFmtId="1" fontId="0" fillId="0" borderId="64" xfId="0" applyNumberFormat="1" applyBorder="1" applyAlignment="1">
      <alignment vertical="top"/>
    </xf>
    <xf numFmtId="0" fontId="0" fillId="0" borderId="64" xfId="0" applyBorder="1" applyAlignment="1">
      <alignment horizontal="left" vertical="top"/>
    </xf>
    <xf numFmtId="0" fontId="0" fillId="0" borderId="65" xfId="0" applyBorder="1" applyAlignment="1">
      <alignment horizontal="left" vertical="top"/>
    </xf>
    <xf numFmtId="0" fontId="0" fillId="0" borderId="67" xfId="0" applyBorder="1" applyAlignment="1">
      <alignment horizontal="left" vertical="top"/>
    </xf>
    <xf numFmtId="0" fontId="0" fillId="0" borderId="66" xfId="0" applyBorder="1" applyAlignment="1">
      <alignment vertical="top"/>
    </xf>
    <xf numFmtId="0" fontId="0" fillId="0" borderId="68" xfId="0" applyBorder="1" applyAlignment="1">
      <alignment vertical="top"/>
    </xf>
    <xf numFmtId="0" fontId="0" fillId="0" borderId="69" xfId="0" applyBorder="1" applyAlignment="1">
      <alignment horizontal="left" vertical="top"/>
    </xf>
    <xf numFmtId="0" fontId="0" fillId="0" borderId="70" xfId="0" applyBorder="1" applyAlignment="1">
      <alignment vertical="top"/>
    </xf>
    <xf numFmtId="0" fontId="0" fillId="0" borderId="71" xfId="0" applyBorder="1" applyAlignment="1">
      <alignment horizontal="left" vertical="top"/>
    </xf>
    <xf numFmtId="1" fontId="0" fillId="0" borderId="72" xfId="0" applyNumberFormat="1" applyBorder="1" applyAlignment="1">
      <alignment vertical="top"/>
    </xf>
    <xf numFmtId="0" fontId="0" fillId="0" borderId="72" xfId="0" applyBorder="1" applyAlignment="1">
      <alignment horizontal="left" vertical="top"/>
    </xf>
    <xf numFmtId="0" fontId="2" fillId="4" borderId="29" xfId="0" applyFont="1" applyFill="1" applyBorder="1" applyAlignment="1">
      <alignment horizontal="left" vertical="top"/>
    </xf>
    <xf numFmtId="0" fontId="2" fillId="4" borderId="29" xfId="0" applyFont="1" applyFill="1" applyBorder="1" applyAlignment="1">
      <alignment horizontal="center" vertical="top"/>
    </xf>
    <xf numFmtId="165" fontId="0" fillId="0" borderId="62" xfId="0" applyNumberFormat="1" applyBorder="1" applyAlignment="1">
      <alignment vertical="top"/>
    </xf>
    <xf numFmtId="0" fontId="2" fillId="2" borderId="73" xfId="0" applyFont="1" applyFill="1" applyBorder="1" applyAlignment="1">
      <alignment vertical="top"/>
    </xf>
    <xf numFmtId="1" fontId="0" fillId="2" borderId="3" xfId="0" applyNumberFormat="1" applyFill="1" applyBorder="1" applyAlignment="1">
      <alignment vertical="top"/>
    </xf>
    <xf numFmtId="0" fontId="0" fillId="0" borderId="74" xfId="0" applyBorder="1" applyAlignment="1">
      <alignment horizontal="left" vertical="top"/>
    </xf>
    <xf numFmtId="164" fontId="0" fillId="0" borderId="74" xfId="0" applyNumberFormat="1" applyBorder="1" applyAlignment="1">
      <alignment vertical="top"/>
    </xf>
    <xf numFmtId="49" fontId="0" fillId="0" borderId="0" xfId="0" applyNumberFormat="1" applyAlignment="1">
      <alignment horizontal="right" vertical="top"/>
    </xf>
    <xf numFmtId="0" fontId="0" fillId="0" borderId="32" xfId="0" applyBorder="1" applyAlignment="1">
      <alignment vertical="top" wrapText="1"/>
    </xf>
    <xf numFmtId="2" fontId="0" fillId="0" borderId="26" xfId="0" applyNumberFormat="1" applyBorder="1" applyAlignment="1">
      <alignment vertical="center" wrapText="1"/>
    </xf>
    <xf numFmtId="164" fontId="2" fillId="2" borderId="17" xfId="1" applyNumberFormat="1" applyFont="1" applyFill="1" applyBorder="1" applyAlignment="1">
      <alignment horizontal="left" vertical="top"/>
    </xf>
    <xf numFmtId="9" fontId="10" fillId="0" borderId="26" xfId="1" applyFont="1" applyBorder="1" applyAlignment="1">
      <alignment horizontal="center"/>
    </xf>
    <xf numFmtId="0" fontId="0" fillId="0" borderId="48" xfId="0" applyBorder="1" applyAlignment="1">
      <alignment horizontal="center" vertical="center" wrapText="1"/>
    </xf>
    <xf numFmtId="0" fontId="0" fillId="0" borderId="48" xfId="0" applyBorder="1" applyAlignment="1">
      <alignment horizontal="left" vertical="center" wrapText="1"/>
    </xf>
    <xf numFmtId="0" fontId="0" fillId="0" borderId="75" xfId="0" applyBorder="1" applyAlignment="1">
      <alignment horizontal="left" vertical="center" wrapText="1"/>
    </xf>
    <xf numFmtId="173" fontId="0" fillId="0" borderId="24" xfId="0" applyNumberFormat="1" applyBorder="1" applyAlignment="1">
      <alignment vertical="center" wrapText="1"/>
    </xf>
    <xf numFmtId="172" fontId="0" fillId="0" borderId="24" xfId="0" applyNumberFormat="1" applyBorder="1" applyAlignment="1">
      <alignment vertical="center" wrapText="1"/>
    </xf>
    <xf numFmtId="0" fontId="0" fillId="0" borderId="0" xfId="0" applyAlignment="1">
      <alignment vertical="center"/>
    </xf>
    <xf numFmtId="174" fontId="0" fillId="0" borderId="0" xfId="0" applyNumberFormat="1" applyAlignment="1">
      <alignment vertical="top"/>
    </xf>
    <xf numFmtId="0" fontId="0" fillId="0" borderId="28" xfId="0" applyBorder="1" applyAlignment="1">
      <alignment horizontal="center" vertical="top"/>
    </xf>
    <xf numFmtId="0" fontId="0" fillId="0" borderId="26" xfId="0" applyBorder="1" applyAlignment="1">
      <alignment horizontal="center" vertical="top"/>
    </xf>
    <xf numFmtId="0" fontId="0" fillId="0" borderId="52" xfId="0" applyBorder="1" applyAlignment="1">
      <alignment horizontal="center" vertical="top"/>
    </xf>
    <xf numFmtId="0" fontId="0" fillId="0" borderId="52" xfId="0" applyBorder="1" applyAlignment="1">
      <alignment vertical="top"/>
    </xf>
    <xf numFmtId="175" fontId="0" fillId="0" borderId="26" xfId="0" applyNumberFormat="1" applyBorder="1" applyAlignment="1">
      <alignment vertical="top"/>
    </xf>
    <xf numFmtId="0" fontId="0" fillId="0" borderId="29" xfId="0" applyBorder="1" applyAlignment="1">
      <alignment horizontal="right" wrapText="1"/>
    </xf>
    <xf numFmtId="0" fontId="0" fillId="0" borderId="26" xfId="0" applyFill="1" applyBorder="1"/>
    <xf numFmtId="2" fontId="0" fillId="0" borderId="26" xfId="0" applyNumberFormat="1" applyFill="1" applyBorder="1" applyAlignment="1">
      <alignment horizontal="center"/>
    </xf>
    <xf numFmtId="0" fontId="0" fillId="0" borderId="0" xfId="0" applyFill="1"/>
    <xf numFmtId="0" fontId="2" fillId="4" borderId="20" xfId="0" applyFont="1" applyFill="1" applyBorder="1" applyAlignment="1">
      <alignment horizontal="left" vertical="center" wrapText="1"/>
    </xf>
    <xf numFmtId="0" fontId="0" fillId="0" borderId="51" xfId="0" applyBorder="1" applyAlignment="1">
      <alignment horizontal="left"/>
    </xf>
    <xf numFmtId="0" fontId="0" fillId="0" borderId="51" xfId="0" applyFill="1" applyBorder="1" applyAlignment="1">
      <alignment horizontal="left"/>
    </xf>
    <xf numFmtId="9" fontId="0" fillId="0" borderId="51" xfId="0" applyNumberFormat="1" applyBorder="1" applyAlignment="1">
      <alignment horizontal="left"/>
    </xf>
    <xf numFmtId="0" fontId="0" fillId="0" borderId="76" xfId="0" applyBorder="1" applyAlignment="1">
      <alignment horizontal="left"/>
    </xf>
    <xf numFmtId="9" fontId="0" fillId="2" borderId="20" xfId="0" applyNumberFormat="1" applyFill="1" applyBorder="1" applyAlignment="1">
      <alignment horizontal="center"/>
    </xf>
    <xf numFmtId="0" fontId="2" fillId="4" borderId="20" xfId="0" applyFont="1" applyFill="1" applyBorder="1" applyAlignment="1">
      <alignment wrapText="1"/>
    </xf>
    <xf numFmtId="0" fontId="2" fillId="4" borderId="20" xfId="0" applyFont="1" applyFill="1" applyBorder="1" applyAlignment="1">
      <alignment horizontal="center" wrapText="1"/>
    </xf>
    <xf numFmtId="1" fontId="0" fillId="0" borderId="6" xfId="0" applyNumberFormat="1" applyBorder="1" applyAlignment="1">
      <alignment wrapText="1"/>
    </xf>
    <xf numFmtId="1" fontId="0" fillId="0" borderId="6" xfId="0" applyNumberFormat="1" applyBorder="1" applyAlignment="1">
      <alignment horizontal="left" vertical="center" wrapText="1"/>
    </xf>
    <xf numFmtId="1" fontId="0" fillId="0" borderId="19" xfId="0" applyNumberFormat="1" applyBorder="1" applyAlignment="1">
      <alignment wrapText="1"/>
    </xf>
    <xf numFmtId="1" fontId="0" fillId="0" borderId="19" xfId="0" applyNumberFormat="1" applyBorder="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0" fillId="16" borderId="0" xfId="0" applyFill="1" applyAlignment="1">
      <alignment wrapText="1"/>
    </xf>
    <xf numFmtId="0" fontId="2" fillId="2" borderId="5" xfId="0" applyFont="1" applyFill="1" applyBorder="1" applyAlignment="1">
      <alignment horizontal="center" vertical="center"/>
    </xf>
    <xf numFmtId="9" fontId="0" fillId="0" borderId="45" xfId="0" applyNumberFormat="1" applyBorder="1" applyAlignment="1">
      <alignment horizontal="center"/>
    </xf>
    <xf numFmtId="9" fontId="0" fillId="0" borderId="7" xfId="0" applyNumberFormat="1" applyBorder="1" applyAlignment="1">
      <alignment horizontal="center"/>
    </xf>
    <xf numFmtId="9" fontId="0" fillId="0" borderId="49" xfId="0" applyNumberFormat="1" applyBorder="1" applyAlignment="1">
      <alignment horizontal="center"/>
    </xf>
    <xf numFmtId="9" fontId="0" fillId="2" borderId="5" xfId="0" applyNumberFormat="1" applyFill="1" applyBorder="1" applyAlignment="1">
      <alignment horizontal="center"/>
    </xf>
    <xf numFmtId="0" fontId="2" fillId="4" borderId="5" xfId="0" applyFont="1" applyFill="1" applyBorder="1" applyAlignment="1">
      <alignment horizontal="center" vertical="center"/>
    </xf>
    <xf numFmtId="0" fontId="7" fillId="10" borderId="0" xfId="0" applyFont="1" applyFill="1" applyAlignment="1">
      <alignment vertical="center"/>
    </xf>
    <xf numFmtId="0" fontId="0" fillId="10" borderId="0" xfId="0" applyFill="1" applyAlignment="1">
      <alignment vertical="center"/>
    </xf>
    <xf numFmtId="0" fontId="2" fillId="2" borderId="5" xfId="0" applyFont="1" applyFill="1" applyBorder="1" applyAlignment="1">
      <alignment horizontal="center" vertical="center" wrapText="1"/>
    </xf>
    <xf numFmtId="0" fontId="0" fillId="0" borderId="0" xfId="0" applyAlignment="1">
      <alignment horizontal="center" wrapText="1"/>
    </xf>
    <xf numFmtId="0" fontId="2" fillId="0" borderId="0" xfId="0" applyFont="1" applyAlignment="1">
      <alignment horizontal="center" wrapText="1"/>
    </xf>
    <xf numFmtId="0" fontId="2" fillId="0" borderId="0" xfId="0" applyFont="1" applyAlignment="1">
      <alignment horizontal="center"/>
    </xf>
    <xf numFmtId="2" fontId="0" fillId="0" borderId="0" xfId="0" applyNumberFormat="1" applyAlignment="1">
      <alignment horizontal="center" vertical="top"/>
    </xf>
    <xf numFmtId="0" fontId="0" fillId="0" borderId="0" xfId="0" applyAlignment="1">
      <alignment horizontal="center" vertical="top"/>
    </xf>
    <xf numFmtId="0" fontId="2" fillId="16" borderId="6" xfId="0" applyFont="1" applyFill="1" applyBorder="1" applyAlignment="1">
      <alignment horizontal="center" wrapText="1"/>
    </xf>
    <xf numFmtId="0" fontId="0" fillId="0" borderId="0" xfId="0" applyAlignment="1">
      <alignment horizontal="right"/>
    </xf>
    <xf numFmtId="0" fontId="0" fillId="4" borderId="6" xfId="0" applyFill="1"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4" borderId="56" xfId="0" applyFill="1" applyBorder="1" applyAlignment="1">
      <alignment horizontal="center" wrapText="1"/>
    </xf>
    <xf numFmtId="0" fontId="0" fillId="4" borderId="57" xfId="0" applyFill="1" applyBorder="1" applyAlignment="1">
      <alignment horizontal="center" wrapText="1"/>
    </xf>
    <xf numFmtId="0" fontId="2" fillId="0" borderId="0" xfId="0" applyFont="1" applyAlignment="1">
      <alignment horizontal="right" vertical="center"/>
    </xf>
    <xf numFmtId="0" fontId="0" fillId="0" borderId="0" xfId="0" applyFill="1" applyBorder="1" applyAlignment="1">
      <alignment wrapText="1"/>
    </xf>
    <xf numFmtId="0" fontId="2" fillId="17" borderId="6" xfId="0" applyFont="1" applyFill="1" applyBorder="1" applyAlignment="1">
      <alignment horizontal="center" wrapText="1"/>
    </xf>
    <xf numFmtId="0" fontId="0" fillId="0" borderId="48" xfId="0" applyBorder="1" applyAlignment="1">
      <alignment horizontal="center" vertical="top" wrapText="1"/>
    </xf>
    <xf numFmtId="0" fontId="0" fillId="0" borderId="48" xfId="0" applyBorder="1" applyAlignment="1">
      <alignment vertical="top"/>
    </xf>
    <xf numFmtId="0" fontId="0" fillId="0" borderId="48" xfId="0" applyFill="1" applyBorder="1" applyAlignment="1">
      <alignment horizontal="center" vertical="top" wrapText="1"/>
    </xf>
    <xf numFmtId="1" fontId="0" fillId="0" borderId="19" xfId="0" applyNumberFormat="1" applyFill="1" applyBorder="1" applyAlignment="1">
      <alignment horizontal="left" wrapText="1"/>
    </xf>
    <xf numFmtId="1" fontId="0" fillId="0" borderId="6" xfId="0" applyNumberFormat="1" applyFill="1" applyBorder="1" applyAlignment="1">
      <alignment horizontal="left" vertical="center" wrapText="1"/>
    </xf>
    <xf numFmtId="2" fontId="0" fillId="18" borderId="19" xfId="0" applyNumberFormat="1" applyFill="1" applyBorder="1" applyAlignment="1">
      <alignment wrapText="1"/>
    </xf>
    <xf numFmtId="0" fontId="5" fillId="0" borderId="0" xfId="0" applyFont="1" applyAlignment="1">
      <alignment wrapText="1"/>
    </xf>
    <xf numFmtId="1" fontId="0" fillId="18" borderId="19" xfId="0" applyNumberFormat="1" applyFill="1" applyBorder="1" applyAlignment="1">
      <alignment horizontal="left" wrapText="1"/>
    </xf>
    <xf numFmtId="1" fontId="0" fillId="18" borderId="6" xfId="0" applyNumberFormat="1" applyFill="1" applyBorder="1" applyAlignment="1">
      <alignment horizontal="left" vertical="center" wrapText="1"/>
    </xf>
    <xf numFmtId="1" fontId="0" fillId="18" borderId="6" xfId="0" applyNumberFormat="1" applyFill="1" applyBorder="1" applyAlignment="1">
      <alignment vertical="center" wrapText="1"/>
    </xf>
    <xf numFmtId="1" fontId="0" fillId="18" borderId="6" xfId="0" applyNumberFormat="1" applyFill="1" applyBorder="1" applyAlignment="1">
      <alignment wrapText="1"/>
    </xf>
    <xf numFmtId="0" fontId="43" fillId="19" borderId="0" xfId="5" applyFont="1" applyFill="1"/>
    <xf numFmtId="0" fontId="42" fillId="19" borderId="0" xfId="5" applyFill="1"/>
    <xf numFmtId="0" fontId="46" fillId="0" borderId="0" xfId="0" applyFont="1" applyAlignment="1">
      <alignment horizontal="left" vertical="center"/>
    </xf>
    <xf numFmtId="0" fontId="47" fillId="0" borderId="0" xfId="0" applyFont="1" applyAlignment="1">
      <alignment vertical="top"/>
    </xf>
    <xf numFmtId="0" fontId="47" fillId="0" borderId="0" xfId="0" applyFont="1" applyAlignment="1">
      <alignment vertical="top" wrapText="1"/>
    </xf>
    <xf numFmtId="0" fontId="0" fillId="21" borderId="12" xfId="0" applyFill="1" applyBorder="1" applyAlignment="1">
      <alignment horizontal="center" wrapText="1"/>
    </xf>
    <xf numFmtId="0" fontId="0" fillId="21" borderId="6" xfId="0" applyFill="1" applyBorder="1" applyAlignment="1">
      <alignment horizontal="center" wrapText="1"/>
    </xf>
    <xf numFmtId="0" fontId="0" fillId="21" borderId="14" xfId="0" applyFill="1" applyBorder="1" applyAlignment="1">
      <alignment horizontal="center" wrapText="1"/>
    </xf>
    <xf numFmtId="0" fontId="0" fillId="21" borderId="6" xfId="0" applyFill="1" applyBorder="1" applyAlignment="1">
      <alignment horizontal="center"/>
    </xf>
    <xf numFmtId="0" fontId="0" fillId="21" borderId="6" xfId="0" applyFill="1" applyBorder="1" applyAlignment="1">
      <alignment horizontal="center" vertical="center" wrapText="1"/>
    </xf>
    <xf numFmtId="0" fontId="0" fillId="21" borderId="24" xfId="0" applyFill="1" applyBorder="1" applyAlignment="1">
      <alignment horizontal="center"/>
    </xf>
    <xf numFmtId="0" fontId="0" fillId="21" borderId="26" xfId="0" applyFill="1" applyBorder="1" applyAlignment="1">
      <alignment horizontal="center"/>
    </xf>
    <xf numFmtId="0" fontId="51" fillId="0" borderId="0" xfId="0" applyFont="1"/>
    <xf numFmtId="0" fontId="7" fillId="10" borderId="0" xfId="0" applyFont="1" applyFill="1" applyAlignment="1">
      <alignment vertical="top"/>
    </xf>
    <xf numFmtId="0" fontId="0" fillId="0" borderId="0" xfId="0" applyFill="1" applyAlignment="1">
      <alignment horizontal="center" wrapText="1"/>
    </xf>
    <xf numFmtId="0" fontId="0" fillId="16" borderId="48" xfId="0" applyFill="1" applyBorder="1" applyAlignment="1">
      <alignment horizontal="center" wrapText="1"/>
    </xf>
    <xf numFmtId="0" fontId="0" fillId="0" borderId="0" xfId="0" applyFill="1" applyBorder="1" applyAlignment="1">
      <alignment horizontal="center" vertical="top" wrapText="1"/>
    </xf>
    <xf numFmtId="0" fontId="0" fillId="21" borderId="46" xfId="0" applyFill="1" applyBorder="1" applyAlignment="1">
      <alignment horizontal="center" wrapText="1"/>
    </xf>
    <xf numFmtId="0" fontId="0" fillId="21" borderId="27" xfId="0" applyFill="1" applyBorder="1" applyAlignment="1">
      <alignment horizontal="center"/>
    </xf>
    <xf numFmtId="0" fontId="2" fillId="2" borderId="9"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21" borderId="19" xfId="0" applyFill="1" applyBorder="1" applyAlignment="1">
      <alignment horizontal="center"/>
    </xf>
    <xf numFmtId="0" fontId="0" fillId="21" borderId="79" xfId="0" applyFill="1" applyBorder="1" applyAlignment="1">
      <alignment horizontal="center"/>
    </xf>
    <xf numFmtId="0" fontId="0" fillId="21" borderId="48" xfId="0" applyFill="1" applyBorder="1" applyAlignment="1">
      <alignment horizontal="center"/>
    </xf>
    <xf numFmtId="0" fontId="0" fillId="21" borderId="80" xfId="0" applyFill="1" applyBorder="1" applyAlignment="1">
      <alignment horizontal="center"/>
    </xf>
    <xf numFmtId="0" fontId="0" fillId="16" borderId="9" xfId="0" applyFill="1" applyBorder="1" applyAlignment="1">
      <alignment wrapText="1"/>
    </xf>
    <xf numFmtId="0" fontId="0" fillId="21" borderId="53" xfId="0" applyFill="1" applyBorder="1" applyAlignment="1">
      <alignment wrapText="1"/>
    </xf>
    <xf numFmtId="0" fontId="0" fillId="21" borderId="12" xfId="0" applyFill="1" applyBorder="1" applyAlignment="1">
      <alignment wrapText="1"/>
    </xf>
    <xf numFmtId="0" fontId="0" fillId="21" borderId="13" xfId="0" applyFill="1" applyBorder="1" applyAlignment="1">
      <alignment wrapText="1"/>
    </xf>
    <xf numFmtId="0" fontId="0" fillId="4" borderId="19" xfId="0" applyFill="1" applyBorder="1" applyAlignment="1">
      <alignment horizontal="center" wrapText="1"/>
    </xf>
    <xf numFmtId="0" fontId="0" fillId="4" borderId="81" xfId="0" applyFill="1" applyBorder="1" applyAlignment="1">
      <alignment horizontal="center" wrapText="1"/>
    </xf>
    <xf numFmtId="0" fontId="0" fillId="21" borderId="33" xfId="0" applyFill="1" applyBorder="1" applyAlignment="1">
      <alignment horizontal="center"/>
    </xf>
    <xf numFmtId="0" fontId="0" fillId="21" borderId="34" xfId="0" applyFill="1" applyBorder="1" applyAlignment="1">
      <alignment horizontal="center"/>
    </xf>
    <xf numFmtId="0" fontId="0" fillId="21" borderId="53" xfId="0" applyFill="1" applyBorder="1" applyAlignment="1">
      <alignment horizontal="center" vertical="center" wrapText="1"/>
    </xf>
    <xf numFmtId="0" fontId="0" fillId="21" borderId="54" xfId="0" applyFill="1" applyBorder="1" applyAlignment="1">
      <alignment horizontal="center" vertical="center" wrapText="1"/>
    </xf>
    <xf numFmtId="0" fontId="0" fillId="21" borderId="12" xfId="0" applyFill="1" applyBorder="1" applyAlignment="1">
      <alignment horizontal="center" vertical="center" wrapText="1"/>
    </xf>
    <xf numFmtId="0" fontId="0" fillId="21" borderId="13" xfId="0" applyFill="1" applyBorder="1" applyAlignment="1">
      <alignment horizontal="center" vertical="center" wrapText="1"/>
    </xf>
    <xf numFmtId="0" fontId="0" fillId="21" borderId="14" xfId="0" applyFill="1" applyBorder="1" applyAlignment="1">
      <alignment horizontal="center" vertical="center" wrapText="1"/>
    </xf>
    <xf numFmtId="0" fontId="0" fillId="21" borderId="48" xfId="0" applyFill="1" applyBorder="1" applyAlignment="1">
      <alignment horizontal="center" wrapText="1"/>
    </xf>
    <xf numFmtId="0" fontId="0" fillId="21" borderId="78" xfId="0" applyFill="1" applyBorder="1" applyAlignment="1">
      <alignment horizontal="center" wrapText="1"/>
    </xf>
    <xf numFmtId="0" fontId="0" fillId="4" borderId="6" xfId="0" applyFill="1" applyBorder="1" applyAlignment="1">
      <alignment vertical="top" wrapText="1"/>
    </xf>
    <xf numFmtId="0" fontId="0" fillId="4" borderId="6" xfId="0" applyFill="1" applyBorder="1" applyAlignment="1">
      <alignment vertical="top"/>
    </xf>
    <xf numFmtId="0" fontId="0" fillId="16" borderId="6" xfId="0" applyFill="1" applyBorder="1" applyAlignment="1">
      <alignment vertical="top"/>
    </xf>
    <xf numFmtId="0" fontId="0" fillId="0" borderId="6" xfId="0" applyFill="1" applyBorder="1" applyAlignment="1">
      <alignment horizontal="left" vertical="top"/>
    </xf>
    <xf numFmtId="0" fontId="0" fillId="0" borderId="6" xfId="0" applyFill="1" applyBorder="1" applyAlignment="1">
      <alignment horizontal="left" vertical="top" wrapText="1"/>
    </xf>
    <xf numFmtId="0" fontId="0" fillId="0" borderId="6" xfId="0" applyBorder="1" applyAlignment="1">
      <alignment vertical="top" wrapText="1"/>
    </xf>
    <xf numFmtId="0" fontId="0" fillId="21" borderId="6" xfId="0" applyFill="1" applyBorder="1" applyAlignment="1">
      <alignment vertical="top" wrapText="1"/>
    </xf>
    <xf numFmtId="0" fontId="0" fillId="21" borderId="6" xfId="0" applyFill="1" applyBorder="1" applyAlignment="1">
      <alignment horizontal="left" vertical="top" wrapText="1"/>
    </xf>
    <xf numFmtId="0" fontId="20" fillId="2" borderId="45" xfId="0" applyFont="1" applyFill="1" applyBorder="1" applyAlignment="1">
      <alignment horizontal="center"/>
    </xf>
    <xf numFmtId="0" fontId="20" fillId="2" borderId="46" xfId="0" applyFont="1" applyFill="1" applyBorder="1" applyAlignment="1">
      <alignment horizontal="center"/>
    </xf>
    <xf numFmtId="0" fontId="20" fillId="0" borderId="7" xfId="0" applyFont="1" applyBorder="1" applyAlignment="1">
      <alignment horizontal="center"/>
    </xf>
    <xf numFmtId="0" fontId="20" fillId="0" borderId="42" xfId="0" applyFont="1" applyBorder="1" applyAlignment="1">
      <alignment horizontal="center"/>
    </xf>
    <xf numFmtId="0" fontId="20" fillId="2" borderId="7" xfId="0" applyFont="1" applyFill="1" applyBorder="1" applyAlignment="1">
      <alignment horizontal="center"/>
    </xf>
    <xf numFmtId="0" fontId="20" fillId="2" borderId="41" xfId="0" applyFont="1" applyFill="1" applyBorder="1" applyAlignment="1">
      <alignment horizontal="center"/>
    </xf>
    <xf numFmtId="0" fontId="20" fillId="2" borderId="42" xfId="0" applyFont="1" applyFill="1" applyBorder="1" applyAlignment="1">
      <alignment horizontal="center"/>
    </xf>
    <xf numFmtId="0" fontId="44" fillId="20" borderId="49" xfId="5" applyFont="1" applyFill="1" applyBorder="1" applyAlignment="1">
      <alignment horizontal="left" vertical="top" wrapText="1"/>
    </xf>
    <xf numFmtId="0" fontId="44" fillId="20" borderId="78" xfId="5" applyFont="1" applyFill="1" applyBorder="1" applyAlignment="1">
      <alignment horizontal="left" vertical="top" wrapText="1"/>
    </xf>
    <xf numFmtId="0" fontId="44" fillId="20" borderId="50" xfId="5" applyFont="1" applyFill="1" applyBorder="1" applyAlignment="1">
      <alignment horizontal="left" vertical="top" wrapText="1"/>
    </xf>
    <xf numFmtId="0" fontId="44" fillId="20" borderId="43" xfId="5" applyFont="1" applyFill="1" applyBorder="1" applyAlignment="1">
      <alignment horizontal="left" vertical="top" wrapText="1"/>
    </xf>
    <xf numFmtId="0" fontId="44" fillId="20" borderId="0" xfId="5" applyFont="1" applyFill="1" applyBorder="1" applyAlignment="1">
      <alignment horizontal="left" vertical="top" wrapText="1"/>
    </xf>
    <xf numFmtId="0" fontId="44" fillId="20" borderId="44" xfId="5" applyFont="1" applyFill="1" applyBorder="1" applyAlignment="1">
      <alignment horizontal="left" vertical="top" wrapText="1"/>
    </xf>
    <xf numFmtId="0" fontId="44" fillId="20" borderId="45" xfId="5" applyFont="1" applyFill="1" applyBorder="1" applyAlignment="1">
      <alignment horizontal="left" vertical="top" wrapText="1"/>
    </xf>
    <xf numFmtId="0" fontId="44" fillId="20" borderId="46" xfId="5" applyFont="1" applyFill="1" applyBorder="1" applyAlignment="1">
      <alignment horizontal="left" vertical="top" wrapText="1"/>
    </xf>
    <xf numFmtId="0" fontId="44" fillId="20" borderId="47" xfId="5" applyFont="1" applyFill="1" applyBorder="1" applyAlignment="1">
      <alignment horizontal="left" vertical="top" wrapText="1"/>
    </xf>
    <xf numFmtId="0" fontId="55" fillId="20" borderId="78" xfId="5" applyFont="1" applyFill="1" applyBorder="1" applyAlignment="1">
      <alignment horizontal="left" vertical="top" wrapText="1"/>
    </xf>
    <xf numFmtId="0" fontId="55" fillId="20" borderId="50" xfId="5" applyFont="1" applyFill="1" applyBorder="1" applyAlignment="1">
      <alignment horizontal="left" vertical="top" wrapText="1"/>
    </xf>
    <xf numFmtId="0" fontId="55" fillId="20" borderId="43" xfId="5" applyFont="1" applyFill="1" applyBorder="1" applyAlignment="1">
      <alignment horizontal="left" vertical="top" wrapText="1"/>
    </xf>
    <xf numFmtId="0" fontId="55" fillId="20" borderId="0" xfId="5" applyFont="1" applyFill="1" applyBorder="1" applyAlignment="1">
      <alignment horizontal="left" vertical="top" wrapText="1"/>
    </xf>
    <xf numFmtId="0" fontId="55" fillId="20" borderId="44" xfId="5" applyFont="1" applyFill="1" applyBorder="1" applyAlignment="1">
      <alignment horizontal="left" vertical="top" wrapText="1"/>
    </xf>
    <xf numFmtId="0" fontId="55" fillId="20" borderId="45" xfId="5" applyFont="1" applyFill="1" applyBorder="1" applyAlignment="1">
      <alignment horizontal="left" vertical="top" wrapText="1"/>
    </xf>
    <xf numFmtId="0" fontId="55" fillId="20" borderId="46" xfId="5" applyFont="1" applyFill="1" applyBorder="1" applyAlignment="1">
      <alignment horizontal="left" vertical="top" wrapText="1"/>
    </xf>
    <xf numFmtId="0" fontId="55" fillId="20" borderId="47" xfId="5" applyFont="1" applyFill="1" applyBorder="1" applyAlignment="1">
      <alignment horizontal="left" vertical="top" wrapText="1"/>
    </xf>
    <xf numFmtId="0" fontId="0" fillId="21" borderId="5" xfId="0" applyFill="1" applyBorder="1" applyAlignment="1">
      <alignment horizontal="center" wrapText="1"/>
    </xf>
    <xf numFmtId="0" fontId="0" fillId="21" borderId="15" xfId="0" applyFill="1" applyBorder="1" applyAlignment="1">
      <alignment horizontal="center" wrapText="1"/>
    </xf>
    <xf numFmtId="0" fontId="0" fillId="21" borderId="1" xfId="0" applyFill="1" applyBorder="1" applyAlignment="1">
      <alignment horizontal="center" wrapText="1"/>
    </xf>
    <xf numFmtId="0" fontId="52" fillId="0" borderId="0" xfId="0" applyFont="1" applyFill="1" applyAlignment="1">
      <alignment vertical="top" wrapText="1"/>
    </xf>
    <xf numFmtId="0" fontId="6" fillId="0" borderId="11" xfId="0" applyFont="1" applyBorder="1" applyAlignment="1">
      <alignment horizontal="left" vertical="top" wrapText="1"/>
    </xf>
    <xf numFmtId="0" fontId="6" fillId="0" borderId="77" xfId="0" applyFont="1" applyBorder="1" applyAlignment="1">
      <alignment horizontal="left" vertical="top" wrapText="1"/>
    </xf>
    <xf numFmtId="0" fontId="52" fillId="0" borderId="0" xfId="0" applyFont="1" applyFill="1" applyAlignment="1">
      <alignment horizontal="left" vertical="top"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2"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0" fontId="0" fillId="0" borderId="56" xfId="0" applyBorder="1" applyAlignment="1">
      <alignment horizontal="left" vertical="center" wrapText="1"/>
    </xf>
    <xf numFmtId="0" fontId="5" fillId="0" borderId="23" xfId="0" applyFont="1" applyBorder="1" applyAlignment="1">
      <alignment horizontal="left" wrapText="1"/>
    </xf>
    <xf numFmtId="0" fontId="5" fillId="0" borderId="34" xfId="0" applyFont="1" applyBorder="1" applyAlignment="1">
      <alignment horizontal="left" wrapText="1"/>
    </xf>
    <xf numFmtId="0" fontId="2" fillId="2" borderId="5" xfId="0" applyFont="1" applyFill="1" applyBorder="1" applyAlignment="1">
      <alignment horizontal="left" vertical="center"/>
    </xf>
    <xf numFmtId="0" fontId="2" fillId="2" borderId="15" xfId="0" applyFont="1" applyFill="1" applyBorder="1" applyAlignment="1">
      <alignment horizontal="left" vertical="center"/>
    </xf>
    <xf numFmtId="0" fontId="2" fillId="2" borderId="1" xfId="0" applyFont="1" applyFill="1" applyBorder="1" applyAlignment="1">
      <alignment horizontal="left" vertical="center"/>
    </xf>
    <xf numFmtId="0" fontId="5" fillId="0" borderId="24" xfId="0" applyFont="1" applyBorder="1" applyAlignment="1">
      <alignment horizontal="left"/>
    </xf>
    <xf numFmtId="0" fontId="5" fillId="0" borderId="26" xfId="0" applyFont="1" applyBorder="1" applyAlignment="1">
      <alignment horizontal="left"/>
    </xf>
    <xf numFmtId="0" fontId="14" fillId="0" borderId="25" xfId="0" applyFont="1" applyBorder="1" applyAlignment="1">
      <alignment horizontal="left"/>
    </xf>
    <xf numFmtId="0" fontId="2" fillId="0" borderId="30" xfId="0" applyFont="1" applyBorder="1" applyAlignment="1">
      <alignment horizontal="left" vertical="center" wrapText="1"/>
    </xf>
    <xf numFmtId="0" fontId="2" fillId="0" borderId="12" xfId="0" applyFont="1" applyBorder="1" applyAlignment="1">
      <alignment horizontal="left" vertical="center" wrapText="1"/>
    </xf>
    <xf numFmtId="0" fontId="5" fillId="0" borderId="22" xfId="0" applyFont="1" applyBorder="1" applyAlignment="1">
      <alignment horizontal="left" wrapText="1"/>
    </xf>
    <xf numFmtId="0" fontId="5" fillId="0" borderId="33" xfId="0" applyFont="1" applyBorder="1" applyAlignment="1">
      <alignment horizontal="left" wrapText="1"/>
    </xf>
    <xf numFmtId="0" fontId="5" fillId="0" borderId="7" xfId="0" applyFont="1" applyBorder="1" applyAlignment="1">
      <alignment horizontal="left" wrapText="1"/>
    </xf>
    <xf numFmtId="0" fontId="5" fillId="0" borderId="27" xfId="0" applyFont="1" applyBorder="1" applyAlignment="1">
      <alignment horizontal="left" wrapText="1"/>
    </xf>
    <xf numFmtId="2" fontId="0" fillId="0" borderId="48" xfId="0" applyNumberFormat="1" applyBorder="1" applyAlignment="1">
      <alignment horizontal="center" vertical="center" wrapText="1"/>
    </xf>
    <xf numFmtId="0" fontId="0" fillId="0" borderId="19" xfId="0" applyBorder="1" applyAlignment="1">
      <alignment horizontal="center" vertical="center" wrapText="1"/>
    </xf>
    <xf numFmtId="2" fontId="0" fillId="0" borderId="54" xfId="0" applyNumberFormat="1" applyBorder="1" applyAlignment="1">
      <alignment horizontal="center"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cellXfs>
  <cellStyles count="6">
    <cellStyle name="Komma" xfId="3" builtinId="3"/>
    <cellStyle name="Notiz" xfId="2" builtinId="10"/>
    <cellStyle name="Prozent" xfId="1" builtinId="5"/>
    <cellStyle name="Standard" xfId="0" builtinId="0"/>
    <cellStyle name="Standard_inquiry_BIO" xfId="5" xr:uid="{AC551EE2-E137-42BA-A818-21597ECB6650}"/>
    <cellStyle name="Währung" xfId="4" builtinId="4"/>
  </cellStyles>
  <dxfs count="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BFF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artin Möller" id="{F98373E6-0FC1-4775-968B-22CFAA73DAE6}" userId="S::moeller@oeko.de::a04c54e1-60ae-4ae1-8e4f-9566cc8f6766" providerId="AD"/>
  <person displayName="Kathrin Graulich" id="{8820C606-D91A-429D-B2C5-7493B41F913A}" userId="S::k.graulich@oeko.de::7bdbdbb8-e88a-4c42-b527-4fb3fd616ac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19" dT="2025-02-07T12:52:20.21" personId="{F98373E6-0FC1-4775-968B-22CFAA73DAE6}" id="{1F10C1DD-70D0-4C81-881E-2158BA030897}">
    <text xml:space="preserve">including Epoxy </text>
  </threadedComment>
  <threadedComment ref="O19" dT="2025-02-07T12:52:34.18" personId="{F98373E6-0FC1-4775-968B-22CFAA73DAE6}" id="{5CB88DAB-7A33-4268-B709-5CCDDEF49066}">
    <text xml:space="preserve">including Epoxy </text>
  </threadedComment>
  <threadedComment ref="U19" dT="2025-02-07T12:52:54.25" personId="{F98373E6-0FC1-4775-968B-22CFAA73DAE6}" id="{CE818FA0-BF71-4BEF-9450-A80BE315C16C}">
    <text xml:space="preserve">including Epoxy </text>
  </threadedComment>
  <threadedComment ref="AG26" dT="2025-02-07T12:53:19.84" personId="{F98373E6-0FC1-4775-968B-22CFAA73DAE6}" id="{671F25A8-588C-44EE-AF1F-9155B48723DE}">
    <text xml:space="preserve">including Epoxy </text>
  </threadedComment>
  <threadedComment ref="C27" dT="2025-02-07T12:51:57.04" personId="{F98373E6-0FC1-4775-968B-22CFAA73DAE6}" id="{324CDD48-C65B-4689-AC85-12835D6ADCFB}">
    <text>including Epoxy (2nd summand, originally separate line)</text>
  </threadedComment>
  <threadedComment ref="AA27" dT="2025-02-07T12:53:05.87" personId="{F98373E6-0FC1-4775-968B-22CFAA73DAE6}" id="{D13CA269-C43E-4E32-A60E-2A712A4F67DD}">
    <text xml:space="preserve">including Epoxy </text>
  </threadedComment>
  <threadedComment ref="C56" dT="2025-02-05T13:35:51.95" personId="{F98373E6-0FC1-4775-968B-22CFAA73DAE6}" id="{CB01D88E-C254-4439-BBD5-31C73E7AA7CB}">
    <text>No data available, value from cat. 2 could be used as proxy</text>
  </threadedComment>
  <threadedComment ref="C72" dT="2025-02-05T13:36:44.86" personId="{F98373E6-0FC1-4775-968B-22CFAA73DAE6}" id="{F45093B2-139E-47EA-BECF-A8B3D93A7D22}">
    <text>No data available</text>
  </threadedComment>
  <threadedComment ref="I72" dT="2025-02-05T13:36:44.86" personId="{F98373E6-0FC1-4775-968B-22CFAA73DAE6}" id="{E3E454E5-E0B0-4C55-BBEF-6737280EBF7F}">
    <text>No data available</text>
  </threadedComment>
  <threadedComment ref="O72" dT="2025-02-05T13:36:44.86" personId="{F98373E6-0FC1-4775-968B-22CFAA73DAE6}" id="{9C427EB7-2412-4225-98CA-285B5AA0B988}">
    <text>No data available</text>
  </threadedComment>
  <threadedComment ref="U72" dT="2025-02-05T13:36:44.86" personId="{F98373E6-0FC1-4775-968B-22CFAA73DAE6}" id="{A172C8BE-040C-4B29-B18D-6D72A2E330E4}">
    <text>No data available</text>
  </threadedComment>
  <threadedComment ref="AA72" dT="2025-02-05T13:36:44.86" personId="{F98373E6-0FC1-4775-968B-22CFAA73DAE6}" id="{AFEAD90D-6F69-4585-9EC2-8148F0EBD70D}">
    <text>No data available</text>
  </threadedComment>
  <threadedComment ref="AG72" dT="2025-02-05T13:36:44.86" personId="{F98373E6-0FC1-4775-968B-22CFAA73DAE6}" id="{80DC6FA4-221B-4992-B17B-B31E54920741}">
    <text>No data available</text>
  </threadedComment>
</ThreadedComments>
</file>

<file path=xl/threadedComments/threadedComment2.xml><?xml version="1.0" encoding="utf-8"?>
<ThreadedComments xmlns="http://schemas.microsoft.com/office/spreadsheetml/2018/threadedcomments" xmlns:x="http://schemas.openxmlformats.org/spreadsheetml/2006/main">
  <threadedComment ref="B9" dT="2025-02-12T00:16:10.40" personId="{8820C606-D91A-429D-B2C5-7493B41F913A}" id="{4C9C5E97-3426-4CEE-9144-94FC11D82953}">
    <text>@ecomatters, please check, according to the table / reference, it is not called heat, but low pressure steam; is the reference to that table correct at all?</text>
  </threadedComment>
  <threadedComment ref="B10" dT="2025-02-09T10:18:08.14" personId="{8820C606-D91A-429D-B2C5-7493B41F913A}" id="{76AE3B3D-FB5C-45A2-BF59-878387B74804}">
    <text xml:space="preserve">Split between water consumption cold water vs. warm water =&gt; warm water to be calculated extra with average values for heating this water to 60°C
</text>
  </threadedComment>
  <threadedComment ref="B11" dT="2025-02-12T00:44:58.49" personId="{8820C606-D91A-429D-B2C5-7493B41F913A}" id="{F19355F4-F672-4AFB-A43B-4A96759B6151}">
    <text>I added this line; please use the EU average values how hot water supply is heated (mix of different energy sources)</text>
  </threadedComment>
  <threadedComment ref="L17" dT="2025-02-12T00:23:46.65" personId="{8820C606-D91A-429D-B2C5-7493B41F913A}" id="{A65D93EA-F595-40DA-86CB-CA58F3658C09}">
    <text>I changed the unit as these machine types are not cycle based</text>
  </threadedComment>
  <threadedComment ref="N17" dT="2025-02-12T00:23:46.65" personId="{8820C606-D91A-429D-B2C5-7493B41F913A}" id="{1D0FCF34-3DD9-47B2-B6E0-683C0EC26C4E}">
    <text>I changed the unit as these machine types are not cycle based</text>
  </threadedComment>
  <threadedComment ref="B20" dT="2025-02-12T00:27:46.25" personId="{8820C606-D91A-429D-B2C5-7493B41F913A}" id="{9D552A0F-CAF7-47F8-9AEE-17BF650D0B93}">
    <text>I added this line because this is essential to calculate the number of cleaned dishes under real-life conditions (= partial load)</text>
  </threadedComment>
  <threadedComment ref="B21" dT="2025-02-12T00:32:23.96" personId="{8820C606-D91A-429D-B2C5-7493B41F913A}" id="{F34A1932-A4BD-486C-AE49-D097148E80E6}">
    <text>I changed the description as the "duration of the typically used washing programme" is not relevant here for the calculations</text>
  </threadedComment>
  <threadedComment ref="B24" dT="2025-02-12T00:46:47.06" personId="{8820C606-D91A-429D-B2C5-7493B41F913A}" id="{21BB11C4-56CD-420D-8CA8-D353CC592BE8}">
    <text>I added this line as rinse aid has to be calculated separately, see my previous email</text>
  </threadedComment>
  <threadedComment ref="B25" dT="2025-02-12T00:20:19.40" personId="{8820C606-D91A-429D-B2C5-7493B41F913A}" id="{8D57DD88-E07D-46AB-BC96-90FAF6E0D93C}">
    <text xml:space="preserve">No information from Task 3 on refrigerants, unfortunately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EDB5-3F42-42AC-961B-3574992D7C96}">
  <dimension ref="A1:Q272"/>
  <sheetViews>
    <sheetView topLeftCell="B212" workbookViewId="0">
      <selection activeCell="I197" sqref="I197"/>
    </sheetView>
  </sheetViews>
  <sheetFormatPr baseColWidth="10" defaultColWidth="10.83203125" defaultRowHeight="14.5"/>
  <cols>
    <col min="1" max="1" width="14.1640625" style="293" customWidth="1"/>
    <col min="2" max="2" width="16.83203125" style="292" customWidth="1"/>
    <col min="3" max="3" width="16.5" style="292" customWidth="1"/>
    <col min="4" max="4" width="20.83203125" style="293" customWidth="1"/>
    <col min="5" max="5" width="20.75" style="292" customWidth="1"/>
    <col min="6" max="6" width="16.1640625" style="292" customWidth="1"/>
    <col min="7" max="7" width="18.1640625" style="292" customWidth="1"/>
    <col min="8" max="8" width="19.25" style="292" customWidth="1"/>
    <col min="9" max="9" width="19.5" style="292" customWidth="1"/>
    <col min="10" max="11" width="12.1640625" style="401" customWidth="1"/>
    <col min="12" max="12" width="10.83203125" style="401"/>
    <col min="13" max="16384" width="10.83203125" style="292"/>
  </cols>
  <sheetData>
    <row r="1" spans="1:17">
      <c r="A1" s="367" t="s">
        <v>0</v>
      </c>
      <c r="B1" s="291" t="s">
        <v>1</v>
      </c>
    </row>
    <row r="2" spans="1:17">
      <c r="A2" s="290"/>
      <c r="B2" s="294" t="s">
        <v>2</v>
      </c>
      <c r="C2" s="294" t="s">
        <v>2</v>
      </c>
      <c r="D2" s="314" t="s">
        <v>2</v>
      </c>
      <c r="F2" s="386" t="s">
        <v>2</v>
      </c>
    </row>
    <row r="3" spans="1:17" ht="29">
      <c r="A3" s="302" t="s">
        <v>3</v>
      </c>
      <c r="B3" s="304" t="s">
        <v>4</v>
      </c>
      <c r="C3" s="304" t="s">
        <v>5</v>
      </c>
      <c r="D3" s="304" t="s">
        <v>6</v>
      </c>
      <c r="E3" s="305" t="s">
        <v>7</v>
      </c>
      <c r="F3" s="387"/>
      <c r="J3" s="402" t="s">
        <v>8</v>
      </c>
      <c r="K3" s="402"/>
      <c r="L3" s="403"/>
      <c r="M3" s="313"/>
      <c r="N3" s="313"/>
      <c r="O3" s="313"/>
      <c r="P3" s="313"/>
      <c r="Q3" s="313"/>
    </row>
    <row r="4" spans="1:17" ht="43.5">
      <c r="A4" s="295" t="s">
        <v>9</v>
      </c>
      <c r="B4" s="296">
        <v>285</v>
      </c>
      <c r="C4" s="296">
        <v>500</v>
      </c>
      <c r="D4" s="365">
        <v>350</v>
      </c>
      <c r="E4" s="298" t="s">
        <v>10</v>
      </c>
      <c r="F4" s="387">
        <v>50</v>
      </c>
      <c r="G4" s="293" t="s">
        <v>11</v>
      </c>
    </row>
    <row r="5" spans="1:17" ht="43.5">
      <c r="A5" s="295" t="s">
        <v>12</v>
      </c>
      <c r="B5" s="296">
        <v>220</v>
      </c>
      <c r="C5" s="296">
        <v>850</v>
      </c>
      <c r="D5" s="297">
        <v>550</v>
      </c>
      <c r="E5" s="298" t="s">
        <v>10</v>
      </c>
      <c r="F5" s="387">
        <v>18</v>
      </c>
      <c r="G5" s="292" t="s">
        <v>13</v>
      </c>
    </row>
    <row r="6" spans="1:17" ht="29">
      <c r="A6" s="295" t="s">
        <v>14</v>
      </c>
      <c r="B6" s="296">
        <v>180</v>
      </c>
      <c r="C6" s="366">
        <v>2510</v>
      </c>
      <c r="D6" s="365">
        <v>720</v>
      </c>
      <c r="E6" s="298" t="s">
        <v>10</v>
      </c>
      <c r="F6" s="387">
        <v>18</v>
      </c>
      <c r="G6" s="292" t="s">
        <v>13</v>
      </c>
    </row>
    <row r="7" spans="1:17" ht="43.5">
      <c r="A7" s="295" t="s">
        <v>15</v>
      </c>
      <c r="B7" s="366">
        <v>7</v>
      </c>
      <c r="C7" s="366">
        <v>30</v>
      </c>
      <c r="D7" s="297">
        <v>15</v>
      </c>
      <c r="E7" s="298" t="s">
        <v>16</v>
      </c>
      <c r="F7" s="388" t="s">
        <v>17</v>
      </c>
      <c r="G7" s="293" t="s">
        <v>18</v>
      </c>
    </row>
    <row r="8" spans="1:17" ht="29">
      <c r="A8" s="295" t="s">
        <v>19</v>
      </c>
      <c r="B8" s="296">
        <v>800</v>
      </c>
      <c r="C8" s="296">
        <v>2520</v>
      </c>
      <c r="D8" s="297">
        <v>1800</v>
      </c>
      <c r="E8" s="298" t="s">
        <v>10</v>
      </c>
      <c r="F8" s="387"/>
    </row>
    <row r="9" spans="1:17" ht="29">
      <c r="A9" s="295" t="s">
        <v>20</v>
      </c>
      <c r="B9" s="296">
        <v>900</v>
      </c>
      <c r="C9" s="296">
        <v>8000</v>
      </c>
      <c r="D9" s="297">
        <v>3600</v>
      </c>
      <c r="E9" s="298" t="s">
        <v>10</v>
      </c>
      <c r="F9" s="387"/>
    </row>
    <row r="11" spans="1:17">
      <c r="A11" s="367" t="s">
        <v>21</v>
      </c>
      <c r="B11" s="291" t="s">
        <v>22</v>
      </c>
    </row>
    <row r="12" spans="1:17">
      <c r="A12" s="290"/>
      <c r="B12" s="294" t="s">
        <v>2</v>
      </c>
      <c r="C12" s="294" t="s">
        <v>2</v>
      </c>
      <c r="D12" s="294" t="s">
        <v>2</v>
      </c>
      <c r="E12" s="294" t="s">
        <v>2</v>
      </c>
      <c r="F12" s="294" t="s">
        <v>23</v>
      </c>
      <c r="G12" s="294"/>
      <c r="H12" s="398"/>
      <c r="I12" s="398"/>
    </row>
    <row r="13" spans="1:17" ht="29">
      <c r="A13" s="383" t="s">
        <v>3</v>
      </c>
      <c r="B13" s="304" t="s">
        <v>24</v>
      </c>
      <c r="C13" s="304" t="s">
        <v>25</v>
      </c>
      <c r="D13" s="304" t="s">
        <v>26</v>
      </c>
      <c r="E13" s="304" t="s">
        <v>27</v>
      </c>
      <c r="F13" s="302" t="s">
        <v>28</v>
      </c>
      <c r="G13" s="305" t="s">
        <v>7</v>
      </c>
      <c r="H13" s="398"/>
      <c r="I13" s="398"/>
    </row>
    <row r="14" spans="1:17" ht="43.5">
      <c r="A14" s="357" t="s">
        <v>9</v>
      </c>
      <c r="B14" s="365">
        <v>7</v>
      </c>
      <c r="C14" s="365">
        <v>50</v>
      </c>
      <c r="D14" s="296">
        <v>200</v>
      </c>
      <c r="E14" s="390">
        <v>0.75</v>
      </c>
      <c r="F14" s="373">
        <f>B14*C14*D14*E14</f>
        <v>52500</v>
      </c>
      <c r="G14" s="298" t="s">
        <v>29</v>
      </c>
    </row>
    <row r="15" spans="1:17" ht="43.5">
      <c r="A15" s="357" t="s">
        <v>12</v>
      </c>
      <c r="B15" s="365">
        <v>55</v>
      </c>
      <c r="C15" s="365">
        <v>18</v>
      </c>
      <c r="D15" s="296">
        <v>300</v>
      </c>
      <c r="E15" s="390">
        <v>0.8</v>
      </c>
      <c r="F15" s="368">
        <f>B15*C15*D15*E15</f>
        <v>237600</v>
      </c>
      <c r="G15" s="298" t="s">
        <v>29</v>
      </c>
    </row>
    <row r="16" spans="1:17" ht="29">
      <c r="A16" s="357" t="s">
        <v>14</v>
      </c>
      <c r="B16" s="365">
        <v>110</v>
      </c>
      <c r="C16" s="365">
        <v>18</v>
      </c>
      <c r="D16" s="296">
        <v>300</v>
      </c>
      <c r="E16" s="390">
        <v>0.8</v>
      </c>
      <c r="F16" s="368">
        <f>B16*C16*D16*E16</f>
        <v>475200</v>
      </c>
      <c r="G16" s="298" t="s">
        <v>29</v>
      </c>
    </row>
    <row r="17" spans="1:14" ht="29">
      <c r="A17" s="357" t="s">
        <v>15</v>
      </c>
      <c r="B17" s="365">
        <v>30</v>
      </c>
      <c r="C17" s="297" t="s">
        <v>30</v>
      </c>
      <c r="D17" s="296">
        <v>300</v>
      </c>
      <c r="E17" s="390">
        <v>0.6</v>
      </c>
      <c r="F17" s="368">
        <f>B17*D17</f>
        <v>9000</v>
      </c>
      <c r="G17" s="298" t="s">
        <v>31</v>
      </c>
    </row>
    <row r="18" spans="1:14" ht="29">
      <c r="A18" s="383" t="s">
        <v>3</v>
      </c>
      <c r="B18" s="304" t="s">
        <v>32</v>
      </c>
      <c r="C18" s="384" t="s">
        <v>33</v>
      </c>
      <c r="D18" s="304" t="s">
        <v>26</v>
      </c>
      <c r="E18" s="304" t="s">
        <v>27</v>
      </c>
      <c r="F18" s="302" t="s">
        <v>28</v>
      </c>
      <c r="G18" s="305" t="s">
        <v>7</v>
      </c>
    </row>
    <row r="19" spans="1:14" ht="29">
      <c r="A19" s="357" t="s">
        <v>19</v>
      </c>
      <c r="B19" s="296">
        <f>D8</f>
        <v>1800</v>
      </c>
      <c r="C19" s="385">
        <v>0.33333333333333331</v>
      </c>
      <c r="D19" s="296">
        <v>330</v>
      </c>
      <c r="E19" s="390">
        <v>0.8</v>
      </c>
      <c r="F19" s="368">
        <f>B19*C19*24*D19*E19</f>
        <v>3801600</v>
      </c>
      <c r="G19" s="298" t="s">
        <v>29</v>
      </c>
    </row>
    <row r="20" spans="1:14" ht="29">
      <c r="A20" s="357" t="s">
        <v>20</v>
      </c>
      <c r="B20" s="296">
        <f>D9</f>
        <v>3600</v>
      </c>
      <c r="C20" s="385">
        <v>0.33333333333333331</v>
      </c>
      <c r="D20" s="296">
        <v>330</v>
      </c>
      <c r="E20" s="390">
        <v>0.8</v>
      </c>
      <c r="F20" s="368">
        <f>B20*C20*24*D20*E20</f>
        <v>7603200</v>
      </c>
      <c r="G20" s="298" t="s">
        <v>29</v>
      </c>
    </row>
    <row r="22" spans="1:14">
      <c r="A22" s="367" t="s">
        <v>34</v>
      </c>
      <c r="B22" s="291" t="s">
        <v>35</v>
      </c>
    </row>
    <row r="24" spans="1:14">
      <c r="A24" s="293" t="s">
        <v>36</v>
      </c>
      <c r="B24" s="292" t="s">
        <v>37</v>
      </c>
      <c r="C24" s="292">
        <v>16</v>
      </c>
      <c r="D24" s="293" t="s">
        <v>38</v>
      </c>
    </row>
    <row r="25" spans="1:14">
      <c r="A25" s="293" t="s">
        <v>36</v>
      </c>
      <c r="B25" s="292" t="s">
        <v>39</v>
      </c>
      <c r="C25" s="292">
        <v>20</v>
      </c>
      <c r="D25" s="293" t="s">
        <v>38</v>
      </c>
    </row>
    <row r="26" spans="1:14">
      <c r="A26" s="293" t="s">
        <v>40</v>
      </c>
      <c r="B26" s="292" t="s">
        <v>41</v>
      </c>
      <c r="C26" s="306">
        <v>3</v>
      </c>
      <c r="D26" s="293" t="s">
        <v>42</v>
      </c>
    </row>
    <row r="27" spans="1:14">
      <c r="A27" s="293" t="s">
        <v>40</v>
      </c>
      <c r="B27" s="292" t="s">
        <v>43</v>
      </c>
      <c r="C27" s="306">
        <v>0.3</v>
      </c>
      <c r="D27" s="293" t="s">
        <v>42</v>
      </c>
    </row>
    <row r="29" spans="1:14" s="291" customFormat="1">
      <c r="A29" s="367" t="s">
        <v>44</v>
      </c>
      <c r="B29" s="291" t="s">
        <v>45</v>
      </c>
      <c r="D29" s="290"/>
      <c r="J29" s="404"/>
      <c r="K29" s="404"/>
      <c r="L29" s="404"/>
    </row>
    <row r="30" spans="1:14" s="294" customFormat="1">
      <c r="A30" s="314"/>
      <c r="B30" s="294" t="s">
        <v>2</v>
      </c>
      <c r="C30" s="294" t="s">
        <v>46</v>
      </c>
      <c r="D30" s="314"/>
      <c r="E30" s="294" t="s">
        <v>47</v>
      </c>
      <c r="F30" s="294" t="s">
        <v>46</v>
      </c>
      <c r="H30" s="294" t="s">
        <v>48</v>
      </c>
      <c r="J30" s="294" t="s">
        <v>2</v>
      </c>
      <c r="K30" s="294" t="s">
        <v>49</v>
      </c>
      <c r="L30" s="401"/>
    </row>
    <row r="31" spans="1:14" ht="72.5">
      <c r="A31" s="302" t="s">
        <v>3</v>
      </c>
      <c r="B31" s="302" t="s">
        <v>50</v>
      </c>
      <c r="C31" s="302" t="s">
        <v>51</v>
      </c>
      <c r="D31" s="302" t="s">
        <v>7</v>
      </c>
      <c r="E31" s="302" t="s">
        <v>52</v>
      </c>
      <c r="F31" s="302" t="s">
        <v>52</v>
      </c>
      <c r="G31" s="302" t="s">
        <v>7</v>
      </c>
      <c r="H31" s="302" t="s">
        <v>53</v>
      </c>
      <c r="I31" s="302" t="s">
        <v>7</v>
      </c>
      <c r="J31" s="302" t="s">
        <v>54</v>
      </c>
      <c r="K31" s="302" t="s">
        <v>55</v>
      </c>
      <c r="L31" s="302" t="s">
        <v>7</v>
      </c>
    </row>
    <row r="32" spans="1:14" ht="58">
      <c r="A32" s="295" t="s">
        <v>9</v>
      </c>
      <c r="B32" s="298" t="s">
        <v>56</v>
      </c>
      <c r="C32" s="371">
        <v>2.2000000000000002</v>
      </c>
      <c r="D32" s="298" t="s">
        <v>57</v>
      </c>
      <c r="E32" s="298" t="s">
        <v>58</v>
      </c>
      <c r="F32" s="372">
        <v>35</v>
      </c>
      <c r="G32" s="298" t="s">
        <v>59</v>
      </c>
      <c r="H32" s="408">
        <v>40</v>
      </c>
      <c r="I32" s="298" t="s">
        <v>60</v>
      </c>
      <c r="J32" s="408">
        <v>40</v>
      </c>
      <c r="K32" s="411" t="s">
        <v>61</v>
      </c>
      <c r="L32" s="298" t="s">
        <v>60</v>
      </c>
      <c r="N32" s="293"/>
    </row>
    <row r="33" spans="1:13" ht="43.5">
      <c r="A33" s="295" t="s">
        <v>12</v>
      </c>
      <c r="B33" s="298" t="s">
        <v>62</v>
      </c>
      <c r="C33" s="307">
        <v>2</v>
      </c>
      <c r="D33" s="298" t="s">
        <v>57</v>
      </c>
      <c r="E33" s="373" t="s">
        <v>63</v>
      </c>
      <c r="F33" s="372">
        <v>16.670000000000002</v>
      </c>
      <c r="G33" s="298" t="s">
        <v>59</v>
      </c>
      <c r="H33" s="308">
        <f>F33*$C$27</f>
        <v>5.0010000000000003</v>
      </c>
      <c r="I33" s="298" t="s">
        <v>60</v>
      </c>
      <c r="J33" s="389">
        <f>F33*3.3</f>
        <v>55.011000000000003</v>
      </c>
      <c r="K33" s="409">
        <f>J33-H33</f>
        <v>50.010000000000005</v>
      </c>
      <c r="L33" s="298" t="s">
        <v>60</v>
      </c>
      <c r="M33" s="306"/>
    </row>
    <row r="34" spans="1:13" ht="29">
      <c r="A34" s="295" t="s">
        <v>14</v>
      </c>
      <c r="B34" s="298" t="s">
        <v>64</v>
      </c>
      <c r="C34" s="307">
        <v>2</v>
      </c>
      <c r="D34" s="298" t="s">
        <v>57</v>
      </c>
      <c r="E34" s="311" t="s">
        <v>65</v>
      </c>
      <c r="F34" s="308">
        <v>13</v>
      </c>
      <c r="G34" s="298" t="s">
        <v>59</v>
      </c>
      <c r="H34" s="308">
        <f t="shared" ref="H34:H37" si="0">F34*$C$27</f>
        <v>3.9</v>
      </c>
      <c r="I34" s="298" t="s">
        <v>60</v>
      </c>
      <c r="J34" s="410">
        <f>13*3.3</f>
        <v>42.9</v>
      </c>
      <c r="K34" s="410">
        <f>J34-H34</f>
        <v>39</v>
      </c>
      <c r="L34" s="298" t="s">
        <v>60</v>
      </c>
      <c r="M34" s="306"/>
    </row>
    <row r="35" spans="1:13" ht="29">
      <c r="A35" s="295" t="s">
        <v>15</v>
      </c>
      <c r="B35" s="298" t="s">
        <v>66</v>
      </c>
      <c r="C35" s="307">
        <v>0.85</v>
      </c>
      <c r="D35" s="298" t="s">
        <v>67</v>
      </c>
      <c r="E35" s="311" t="s">
        <v>68</v>
      </c>
      <c r="F35" s="308">
        <v>6</v>
      </c>
      <c r="G35" s="298" t="s">
        <v>69</v>
      </c>
      <c r="H35" s="308">
        <f t="shared" si="0"/>
        <v>1.7999999999999998</v>
      </c>
      <c r="I35" s="298" t="s">
        <v>70</v>
      </c>
      <c r="J35" s="410">
        <v>17</v>
      </c>
      <c r="K35" s="410">
        <f>J35-H35</f>
        <v>15.2</v>
      </c>
      <c r="L35" s="298" t="s">
        <v>70</v>
      </c>
      <c r="M35" s="306"/>
    </row>
    <row r="36" spans="1:13" ht="29">
      <c r="A36" s="295" t="s">
        <v>19</v>
      </c>
      <c r="B36" s="298" t="s">
        <v>71</v>
      </c>
      <c r="C36" s="307">
        <v>2</v>
      </c>
      <c r="D36" s="298" t="s">
        <v>57</v>
      </c>
      <c r="E36" s="311" t="s">
        <v>72</v>
      </c>
      <c r="F36" s="308">
        <v>12</v>
      </c>
      <c r="G36" s="298" t="s">
        <v>59</v>
      </c>
      <c r="H36" s="308">
        <f t="shared" si="0"/>
        <v>3.5999999999999996</v>
      </c>
      <c r="I36" s="298" t="s">
        <v>60</v>
      </c>
      <c r="J36" s="410">
        <v>36</v>
      </c>
      <c r="K36" s="410">
        <f>J36-H36</f>
        <v>32.4</v>
      </c>
      <c r="L36" s="298" t="s">
        <v>60</v>
      </c>
      <c r="M36" s="306"/>
    </row>
    <row r="37" spans="1:13" ht="29">
      <c r="A37" s="295" t="s">
        <v>20</v>
      </c>
      <c r="B37" s="298" t="s">
        <v>73</v>
      </c>
      <c r="C37" s="307">
        <v>2</v>
      </c>
      <c r="D37" s="298" t="s">
        <v>57</v>
      </c>
      <c r="E37" s="311" t="s">
        <v>74</v>
      </c>
      <c r="F37" s="308">
        <v>8</v>
      </c>
      <c r="G37" s="298" t="s">
        <v>59</v>
      </c>
      <c r="H37" s="308">
        <f t="shared" si="0"/>
        <v>2.4</v>
      </c>
      <c r="I37" s="298" t="s">
        <v>60</v>
      </c>
      <c r="J37" s="410">
        <v>24</v>
      </c>
      <c r="K37" s="410">
        <f>J37-H37</f>
        <v>21.6</v>
      </c>
      <c r="L37" s="298" t="s">
        <v>60</v>
      </c>
      <c r="M37" s="306"/>
    </row>
    <row r="38" spans="1:13">
      <c r="L38" s="401">
        <f>K167*330/1000</f>
        <v>0</v>
      </c>
    </row>
    <row r="39" spans="1:13" s="291" customFormat="1">
      <c r="A39" s="367" t="s">
        <v>75</v>
      </c>
      <c r="B39" s="291" t="s">
        <v>76</v>
      </c>
      <c r="D39" s="290"/>
      <c r="J39" s="404"/>
      <c r="K39" s="404"/>
      <c r="L39" s="404"/>
    </row>
    <row r="40" spans="1:13" s="291" customFormat="1">
      <c r="A40" s="290"/>
      <c r="B40" s="294" t="s">
        <v>77</v>
      </c>
      <c r="C40" s="294" t="s">
        <v>23</v>
      </c>
      <c r="D40" s="294" t="s">
        <v>23</v>
      </c>
      <c r="E40" s="294" t="s">
        <v>23</v>
      </c>
      <c r="F40" s="294" t="s">
        <v>23</v>
      </c>
      <c r="J40" s="404"/>
      <c r="K40" s="404"/>
      <c r="L40" s="404"/>
    </row>
    <row r="41" spans="1:13" ht="43.5">
      <c r="A41" s="302" t="s">
        <v>3</v>
      </c>
      <c r="B41" s="302" t="s">
        <v>28</v>
      </c>
      <c r="C41" s="302" t="s">
        <v>78</v>
      </c>
      <c r="D41" s="302" t="s">
        <v>79</v>
      </c>
      <c r="E41" s="302" t="s">
        <v>80</v>
      </c>
      <c r="F41" s="302" t="s">
        <v>81</v>
      </c>
      <c r="K41" s="405"/>
      <c r="L41" s="405"/>
      <c r="M41" s="401"/>
    </row>
    <row r="42" spans="1:13" ht="43.5">
      <c r="A42" s="295" t="s">
        <v>9</v>
      </c>
      <c r="B42" s="373">
        <f>F14/E14</f>
        <v>70000</v>
      </c>
      <c r="C42" s="368">
        <f>B42/100*C32</f>
        <v>1540.0000000000002</v>
      </c>
      <c r="D42" s="373">
        <f>B42/100*F32</f>
        <v>24500</v>
      </c>
      <c r="E42" s="368">
        <f>B42/100*H32/1000</f>
        <v>28</v>
      </c>
      <c r="F42" s="411" t="s">
        <v>61</v>
      </c>
      <c r="M42" s="401"/>
    </row>
    <row r="43" spans="1:13" ht="43.5">
      <c r="A43" s="295" t="s">
        <v>12</v>
      </c>
      <c r="B43" s="373">
        <f>F15/E15</f>
        <v>297000</v>
      </c>
      <c r="C43" s="368">
        <f>B43/100*C33</f>
        <v>5940</v>
      </c>
      <c r="D43" s="368">
        <f>B43/100*F33</f>
        <v>49509.9</v>
      </c>
      <c r="E43" s="368">
        <f>B43/100*H33/1000</f>
        <v>14.852970000000001</v>
      </c>
      <c r="F43" s="368">
        <f>B43*K33/100/1000</f>
        <v>148.52970000000002</v>
      </c>
      <c r="M43" s="401"/>
    </row>
    <row r="44" spans="1:13" ht="29">
      <c r="A44" s="295" t="s">
        <v>14</v>
      </c>
      <c r="B44" s="373">
        <f>F16/E16</f>
        <v>594000</v>
      </c>
      <c r="C44" s="368">
        <f>B44/100*C34</f>
        <v>11880</v>
      </c>
      <c r="D44" s="373">
        <f>B44/100*F34</f>
        <v>77220</v>
      </c>
      <c r="E44" s="368">
        <f>B44/100*H34/1000</f>
        <v>23.166</v>
      </c>
      <c r="F44" s="368">
        <f t="shared" ref="F44:F47" si="1">B44*K34/100/1000</f>
        <v>231.66</v>
      </c>
      <c r="M44" s="401"/>
    </row>
    <row r="45" spans="1:13" ht="29">
      <c r="A45" s="295" t="s">
        <v>15</v>
      </c>
      <c r="B45" s="389">
        <f>F17</f>
        <v>9000</v>
      </c>
      <c r="C45" s="368">
        <f>B45*C35</f>
        <v>7650</v>
      </c>
      <c r="D45" s="373">
        <f>B45*F35</f>
        <v>54000</v>
      </c>
      <c r="E45" s="368">
        <f>B45*H35/1000</f>
        <v>16.2</v>
      </c>
      <c r="F45" s="368">
        <f>B45*K35/1000</f>
        <v>136.80000000000001</v>
      </c>
      <c r="M45" s="401"/>
    </row>
    <row r="46" spans="1:13" ht="29">
      <c r="A46" s="295" t="s">
        <v>19</v>
      </c>
      <c r="B46" s="373">
        <f>F19/E19</f>
        <v>4752000</v>
      </c>
      <c r="C46" s="368">
        <f>B46/100*C36</f>
        <v>95040</v>
      </c>
      <c r="D46" s="373">
        <f>B46/100*F36</f>
        <v>570240</v>
      </c>
      <c r="E46" s="368">
        <f>B46/100*H36/1000</f>
        <v>171.07199999999997</v>
      </c>
      <c r="F46" s="368">
        <f t="shared" si="1"/>
        <v>1539.6479999999999</v>
      </c>
      <c r="M46" s="401"/>
    </row>
    <row r="47" spans="1:13" ht="29">
      <c r="A47" s="295" t="s">
        <v>20</v>
      </c>
      <c r="B47" s="373">
        <f>F20/E20</f>
        <v>9504000</v>
      </c>
      <c r="C47" s="368">
        <f>B47/100*C37</f>
        <v>190080</v>
      </c>
      <c r="D47" s="373">
        <f>B47/100*F37</f>
        <v>760320</v>
      </c>
      <c r="E47" s="368">
        <f>B47/100*H37/1000</f>
        <v>228.096</v>
      </c>
      <c r="F47" s="368">
        <f t="shared" si="1"/>
        <v>2052.864</v>
      </c>
      <c r="M47" s="401"/>
    </row>
    <row r="49" spans="1:12">
      <c r="A49" s="367" t="s">
        <v>82</v>
      </c>
      <c r="B49" s="291" t="s">
        <v>83</v>
      </c>
    </row>
    <row r="50" spans="1:12" s="294" customFormat="1">
      <c r="A50" s="314"/>
      <c r="B50" s="294" t="s">
        <v>2</v>
      </c>
      <c r="C50" s="294" t="s">
        <v>2</v>
      </c>
      <c r="D50" s="314" t="s">
        <v>2</v>
      </c>
      <c r="E50" s="294" t="s">
        <v>2</v>
      </c>
      <c r="J50" s="401"/>
      <c r="K50" s="401"/>
      <c r="L50" s="401"/>
    </row>
    <row r="51" spans="1:12">
      <c r="A51" s="290"/>
      <c r="B51" s="315"/>
      <c r="C51" s="658" t="s">
        <v>84</v>
      </c>
      <c r="D51" s="659"/>
      <c r="E51" s="660"/>
    </row>
    <row r="52" spans="1:12" ht="29">
      <c r="A52" s="302" t="s">
        <v>3</v>
      </c>
      <c r="B52" s="302" t="s">
        <v>85</v>
      </c>
      <c r="C52" s="302" t="s">
        <v>86</v>
      </c>
      <c r="D52" s="302" t="s">
        <v>87</v>
      </c>
      <c r="E52" s="302" t="s">
        <v>88</v>
      </c>
    </row>
    <row r="53" spans="1:12" ht="43.5">
      <c r="A53" s="295" t="s">
        <v>9</v>
      </c>
      <c r="B53" s="300">
        <v>0.8</v>
      </c>
      <c r="C53" s="300">
        <v>0.15</v>
      </c>
      <c r="D53" s="318">
        <v>0.25</v>
      </c>
      <c r="E53" s="300">
        <v>0.25</v>
      </c>
    </row>
    <row r="54" spans="1:12" ht="43.5">
      <c r="A54" s="295" t="s">
        <v>12</v>
      </c>
      <c r="B54" s="300">
        <f>E15</f>
        <v>0.8</v>
      </c>
      <c r="C54" s="395">
        <v>7.4999999999999997E-2</v>
      </c>
      <c r="D54" s="318">
        <v>0.25</v>
      </c>
      <c r="E54" s="300">
        <v>0.25</v>
      </c>
    </row>
    <row r="55" spans="1:12" ht="29">
      <c r="A55" s="295" t="s">
        <v>14</v>
      </c>
      <c r="B55" s="300">
        <f>E16</f>
        <v>0.8</v>
      </c>
      <c r="C55" s="395">
        <v>7.4999999999999997E-2</v>
      </c>
      <c r="D55" s="318">
        <v>0.25</v>
      </c>
      <c r="E55" s="300">
        <v>0.25</v>
      </c>
    </row>
    <row r="56" spans="1:12" ht="29">
      <c r="A56" s="295" t="s">
        <v>15</v>
      </c>
      <c r="B56" s="300">
        <f>E17</f>
        <v>0.6</v>
      </c>
      <c r="C56" s="395">
        <v>7.4999999999999997E-2</v>
      </c>
      <c r="D56" s="318">
        <v>0.3</v>
      </c>
      <c r="E56" s="300">
        <v>0.3</v>
      </c>
    </row>
    <row r="57" spans="1:12" ht="29">
      <c r="A57" s="295" t="s">
        <v>19</v>
      </c>
      <c r="B57" s="300">
        <v>0.75</v>
      </c>
      <c r="C57" s="300">
        <v>0.1</v>
      </c>
      <c r="D57" s="318">
        <v>0.1</v>
      </c>
      <c r="E57" s="300">
        <v>0.1</v>
      </c>
    </row>
    <row r="58" spans="1:12" ht="29">
      <c r="A58" s="295" t="s">
        <v>20</v>
      </c>
      <c r="B58" s="300">
        <v>0.75</v>
      </c>
      <c r="C58" s="300">
        <v>0.1</v>
      </c>
      <c r="D58" s="318">
        <v>0.1</v>
      </c>
      <c r="E58" s="300">
        <v>0.1</v>
      </c>
    </row>
    <row r="60" spans="1:12">
      <c r="A60" s="367" t="s">
        <v>89</v>
      </c>
      <c r="B60" s="291" t="s">
        <v>90</v>
      </c>
    </row>
    <row r="61" spans="1:12" s="294" customFormat="1">
      <c r="A61" s="314"/>
      <c r="B61" s="294" t="s">
        <v>77</v>
      </c>
      <c r="C61" s="294" t="s">
        <v>77</v>
      </c>
      <c r="D61" s="294" t="s">
        <v>77</v>
      </c>
      <c r="E61" s="294" t="s">
        <v>77</v>
      </c>
      <c r="F61" s="294" t="s">
        <v>77</v>
      </c>
      <c r="G61" s="294" t="s">
        <v>77</v>
      </c>
      <c r="J61" s="401"/>
      <c r="K61" s="401"/>
      <c r="L61" s="401"/>
    </row>
    <row r="62" spans="1:12">
      <c r="A62" s="290"/>
      <c r="B62" s="315"/>
      <c r="C62" s="315"/>
      <c r="D62" s="654" t="s">
        <v>91</v>
      </c>
      <c r="E62" s="655"/>
      <c r="F62" s="655"/>
      <c r="G62" s="655"/>
    </row>
    <row r="63" spans="1:12" ht="43.5">
      <c r="A63" s="302" t="s">
        <v>3</v>
      </c>
      <c r="B63" s="302" t="s">
        <v>85</v>
      </c>
      <c r="C63" s="302" t="s">
        <v>92</v>
      </c>
      <c r="D63" s="302" t="s">
        <v>78</v>
      </c>
      <c r="E63" s="302" t="s">
        <v>79</v>
      </c>
      <c r="F63" s="302" t="s">
        <v>80</v>
      </c>
      <c r="G63" s="302" t="s">
        <v>81</v>
      </c>
    </row>
    <row r="64" spans="1:12" ht="43.5">
      <c r="A64" s="295" t="s">
        <v>9</v>
      </c>
      <c r="B64" s="300">
        <f t="shared" ref="B64:C67" si="2">E14</f>
        <v>0.75</v>
      </c>
      <c r="C64" s="400">
        <f t="shared" si="2"/>
        <v>52500</v>
      </c>
      <c r="D64" s="309">
        <f>C42</f>
        <v>1540.0000000000002</v>
      </c>
      <c r="E64" s="309">
        <f t="shared" ref="E64:F64" si="3">D42</f>
        <v>24500</v>
      </c>
      <c r="F64" s="309">
        <f t="shared" si="3"/>
        <v>28</v>
      </c>
      <c r="G64" s="349" t="str">
        <f>F42</f>
        <v>see left (integrated detergent and rinse aid)</v>
      </c>
    </row>
    <row r="65" spans="1:12" ht="43.5">
      <c r="A65" s="295" t="s">
        <v>12</v>
      </c>
      <c r="B65" s="300">
        <f t="shared" si="2"/>
        <v>0.8</v>
      </c>
      <c r="C65" s="400">
        <f t="shared" si="2"/>
        <v>237600</v>
      </c>
      <c r="D65" s="309">
        <f t="shared" ref="D65:G65" si="4">C43</f>
        <v>5940</v>
      </c>
      <c r="E65" s="309">
        <f t="shared" si="4"/>
        <v>49509.9</v>
      </c>
      <c r="F65" s="309">
        <f t="shared" si="4"/>
        <v>14.852970000000001</v>
      </c>
      <c r="G65" s="349">
        <f t="shared" si="4"/>
        <v>148.52970000000002</v>
      </c>
    </row>
    <row r="66" spans="1:12" ht="29">
      <c r="A66" s="295" t="s">
        <v>14</v>
      </c>
      <c r="B66" s="300">
        <f t="shared" si="2"/>
        <v>0.8</v>
      </c>
      <c r="C66" s="400">
        <f t="shared" si="2"/>
        <v>475200</v>
      </c>
      <c r="D66" s="309">
        <f t="shared" ref="D66:G66" si="5">C44</f>
        <v>11880</v>
      </c>
      <c r="E66" s="309">
        <f t="shared" si="5"/>
        <v>77220</v>
      </c>
      <c r="F66" s="309">
        <f t="shared" si="5"/>
        <v>23.166</v>
      </c>
      <c r="G66" s="349">
        <f t="shared" si="5"/>
        <v>231.66</v>
      </c>
    </row>
    <row r="67" spans="1:12" ht="29">
      <c r="A67" s="295" t="s">
        <v>15</v>
      </c>
      <c r="B67" s="300">
        <f t="shared" si="2"/>
        <v>0.6</v>
      </c>
      <c r="C67" s="400">
        <f t="shared" si="2"/>
        <v>9000</v>
      </c>
      <c r="D67" s="309">
        <f t="shared" ref="D67:G67" si="6">C45</f>
        <v>7650</v>
      </c>
      <c r="E67" s="309">
        <f t="shared" si="6"/>
        <v>54000</v>
      </c>
      <c r="F67" s="309">
        <f t="shared" si="6"/>
        <v>16.2</v>
      </c>
      <c r="G67" s="349">
        <f t="shared" si="6"/>
        <v>136.80000000000001</v>
      </c>
    </row>
    <row r="68" spans="1:12" ht="29">
      <c r="A68" s="295" t="s">
        <v>19</v>
      </c>
      <c r="B68" s="300">
        <f>E19</f>
        <v>0.8</v>
      </c>
      <c r="C68" s="400">
        <f>F19</f>
        <v>3801600</v>
      </c>
      <c r="D68" s="309">
        <f t="shared" ref="D68:G68" si="7">C46</f>
        <v>95040</v>
      </c>
      <c r="E68" s="309">
        <f t="shared" si="7"/>
        <v>570240</v>
      </c>
      <c r="F68" s="309">
        <f t="shared" si="7"/>
        <v>171.07199999999997</v>
      </c>
      <c r="G68" s="349">
        <f t="shared" si="7"/>
        <v>1539.6479999999999</v>
      </c>
    </row>
    <row r="69" spans="1:12" ht="29">
      <c r="A69" s="295" t="s">
        <v>20</v>
      </c>
      <c r="B69" s="300">
        <f>E20</f>
        <v>0.8</v>
      </c>
      <c r="C69" s="400">
        <f>F20</f>
        <v>7603200</v>
      </c>
      <c r="D69" s="309">
        <f t="shared" ref="D69:G69" si="8">C47</f>
        <v>190080</v>
      </c>
      <c r="E69" s="309">
        <f t="shared" si="8"/>
        <v>760320</v>
      </c>
      <c r="F69" s="309">
        <f t="shared" si="8"/>
        <v>228.096</v>
      </c>
      <c r="G69" s="349">
        <f t="shared" si="8"/>
        <v>2052.864</v>
      </c>
    </row>
    <row r="71" spans="1:12">
      <c r="A71" s="367" t="s">
        <v>93</v>
      </c>
      <c r="B71" s="291" t="s">
        <v>94</v>
      </c>
      <c r="C71" s="291"/>
      <c r="D71" s="290"/>
      <c r="E71" s="291"/>
      <c r="F71" s="291"/>
      <c r="G71" s="291"/>
      <c r="H71" s="291"/>
      <c r="I71" s="291"/>
      <c r="J71" s="404"/>
      <c r="K71" s="404"/>
    </row>
    <row r="72" spans="1:12">
      <c r="A72" s="314"/>
      <c r="B72" s="294" t="s">
        <v>95</v>
      </c>
      <c r="C72" s="314"/>
      <c r="D72" s="294" t="s">
        <v>95</v>
      </c>
      <c r="E72" s="294"/>
      <c r="F72" s="294" t="s">
        <v>95</v>
      </c>
      <c r="G72" s="294"/>
      <c r="H72" s="294" t="s">
        <v>95</v>
      </c>
    </row>
    <row r="73" spans="1:12" ht="43.5">
      <c r="A73" s="302" t="s">
        <v>3</v>
      </c>
      <c r="B73" s="302" t="s">
        <v>96</v>
      </c>
      <c r="C73" s="302" t="s">
        <v>7</v>
      </c>
      <c r="D73" s="302" t="s">
        <v>97</v>
      </c>
      <c r="E73" s="302" t="s">
        <v>7</v>
      </c>
      <c r="F73" s="302" t="s">
        <v>98</v>
      </c>
      <c r="G73" s="302" t="s">
        <v>7</v>
      </c>
      <c r="H73" s="302" t="s">
        <v>99</v>
      </c>
      <c r="I73" s="302" t="s">
        <v>7</v>
      </c>
    </row>
    <row r="74" spans="1:12" ht="43.5">
      <c r="A74" s="295" t="s">
        <v>9</v>
      </c>
      <c r="B74" s="371">
        <f>D64/C64*100</f>
        <v>2.9333333333333336</v>
      </c>
      <c r="C74" s="298" t="s">
        <v>57</v>
      </c>
      <c r="D74" s="372">
        <f>E64/C64*100</f>
        <v>46.666666666666664</v>
      </c>
      <c r="E74" s="298" t="s">
        <v>59</v>
      </c>
      <c r="F74" s="368">
        <f>F64/C64*100*1000</f>
        <v>53.333333333333336</v>
      </c>
      <c r="G74" s="298" t="s">
        <v>60</v>
      </c>
      <c r="H74" s="411" t="str">
        <f>G64</f>
        <v>see left (integrated detergent and rinse aid)</v>
      </c>
      <c r="I74" s="298" t="s">
        <v>60</v>
      </c>
    </row>
    <row r="75" spans="1:12" ht="43.5">
      <c r="A75" s="295" t="s">
        <v>12</v>
      </c>
      <c r="B75" s="371">
        <f t="shared" ref="B75:B79" si="9">D65/C65*100</f>
        <v>2.5</v>
      </c>
      <c r="C75" s="298" t="s">
        <v>57</v>
      </c>
      <c r="D75" s="372">
        <f t="shared" ref="D75:D79" si="10">E65/C65*100</f>
        <v>20.837500000000002</v>
      </c>
      <c r="E75" s="298" t="s">
        <v>59</v>
      </c>
      <c r="F75" s="368">
        <f>F65/C65*100*1000</f>
        <v>6.2512500000000006</v>
      </c>
      <c r="G75" s="298" t="s">
        <v>60</v>
      </c>
      <c r="H75" s="368">
        <f>G65/C65*100*1000</f>
        <v>62.512499999999996</v>
      </c>
      <c r="I75" s="298" t="s">
        <v>60</v>
      </c>
    </row>
    <row r="76" spans="1:12" ht="29">
      <c r="A76" s="295" t="s">
        <v>14</v>
      </c>
      <c r="B76" s="371">
        <f t="shared" si="9"/>
        <v>2.5</v>
      </c>
      <c r="C76" s="298" t="s">
        <v>57</v>
      </c>
      <c r="D76" s="372">
        <f t="shared" si="10"/>
        <v>16.25</v>
      </c>
      <c r="E76" s="298" t="s">
        <v>59</v>
      </c>
      <c r="F76" s="368">
        <f>F66/C66*100*1000</f>
        <v>4.875</v>
      </c>
      <c r="G76" s="298" t="s">
        <v>60</v>
      </c>
      <c r="H76" s="368">
        <f>G66/C66*100*1000</f>
        <v>48.749999999999993</v>
      </c>
      <c r="I76" s="298" t="s">
        <v>60</v>
      </c>
    </row>
    <row r="77" spans="1:12" ht="29">
      <c r="A77" s="295" t="s">
        <v>15</v>
      </c>
      <c r="B77" s="371">
        <f>D67/C67/E17</f>
        <v>1.4166666666666667</v>
      </c>
      <c r="C77" s="298" t="s">
        <v>67</v>
      </c>
      <c r="D77" s="372">
        <f>E67/C67/E17</f>
        <v>10</v>
      </c>
      <c r="E77" s="298" t="s">
        <v>69</v>
      </c>
      <c r="F77" s="368">
        <f>F67/C67/E17*1000</f>
        <v>3</v>
      </c>
      <c r="G77" s="298" t="s">
        <v>70</v>
      </c>
      <c r="H77" s="368">
        <f>G67/C67/E17*1000</f>
        <v>25.333333333333336</v>
      </c>
      <c r="I77" s="298" t="s">
        <v>70</v>
      </c>
    </row>
    <row r="78" spans="1:12" ht="29">
      <c r="A78" s="295" t="s">
        <v>19</v>
      </c>
      <c r="B78" s="371">
        <f t="shared" si="9"/>
        <v>2.5</v>
      </c>
      <c r="C78" s="298" t="s">
        <v>57</v>
      </c>
      <c r="D78" s="372">
        <f t="shared" si="10"/>
        <v>15</v>
      </c>
      <c r="E78" s="298" t="s">
        <v>59</v>
      </c>
      <c r="F78" s="368">
        <f>F68/C68*100*1000</f>
        <v>4.5</v>
      </c>
      <c r="G78" s="298" t="s">
        <v>60</v>
      </c>
      <c r="H78" s="368">
        <f>G68/C68*100*1000</f>
        <v>40.499999999999993</v>
      </c>
      <c r="I78" s="298" t="s">
        <v>60</v>
      </c>
    </row>
    <row r="79" spans="1:12" ht="29">
      <c r="A79" s="295" t="s">
        <v>20</v>
      </c>
      <c r="B79" s="371">
        <f t="shared" si="9"/>
        <v>2.5</v>
      </c>
      <c r="C79" s="298" t="s">
        <v>57</v>
      </c>
      <c r="D79" s="372">
        <f t="shared" si="10"/>
        <v>10</v>
      </c>
      <c r="E79" s="298" t="s">
        <v>59</v>
      </c>
      <c r="F79" s="368">
        <f>F69/C69*100*1000</f>
        <v>3</v>
      </c>
      <c r="G79" s="298" t="s">
        <v>60</v>
      </c>
      <c r="H79" s="368">
        <f>G69/C69*100*1000</f>
        <v>27</v>
      </c>
      <c r="I79" s="298" t="s">
        <v>60</v>
      </c>
    </row>
    <row r="80" spans="1:12" s="320" customFormat="1">
      <c r="A80" s="293"/>
      <c r="B80" s="292"/>
      <c r="C80" s="292"/>
      <c r="D80" s="293"/>
      <c r="E80" s="292"/>
      <c r="F80" s="292"/>
      <c r="G80" s="292"/>
      <c r="H80" s="292"/>
      <c r="I80" s="292"/>
      <c r="J80" s="401"/>
      <c r="K80" s="401"/>
      <c r="L80" s="406"/>
    </row>
    <row r="82" spans="1:12" ht="43.5">
      <c r="A82" s="367" t="s">
        <v>100</v>
      </c>
      <c r="B82" s="291" t="s">
        <v>101</v>
      </c>
    </row>
    <row r="83" spans="1:12">
      <c r="A83" s="290"/>
      <c r="B83" s="291"/>
      <c r="E83" s="322" t="s">
        <v>102</v>
      </c>
      <c r="F83" s="316"/>
      <c r="G83" s="317"/>
    </row>
    <row r="84" spans="1:12" ht="29">
      <c r="A84" s="302" t="s">
        <v>103</v>
      </c>
      <c r="B84" s="302"/>
      <c r="C84" s="302" t="s">
        <v>104</v>
      </c>
      <c r="D84" s="302" t="s">
        <v>105</v>
      </c>
      <c r="E84" s="302" t="s">
        <v>106</v>
      </c>
      <c r="F84" s="302" t="s">
        <v>107</v>
      </c>
      <c r="G84" s="302" t="s">
        <v>41</v>
      </c>
    </row>
    <row r="85" spans="1:12" s="320" customFormat="1">
      <c r="A85" s="319" t="s">
        <v>108</v>
      </c>
      <c r="B85" s="332"/>
      <c r="C85" s="332"/>
      <c r="D85" s="333"/>
      <c r="E85" s="332"/>
      <c r="F85" s="332"/>
      <c r="G85" s="334"/>
      <c r="H85" s="292"/>
      <c r="I85" s="292"/>
      <c r="J85" s="401"/>
      <c r="K85" s="401"/>
      <c r="L85" s="406"/>
    </row>
    <row r="86" spans="1:12">
      <c r="A86" s="323" t="s">
        <v>109</v>
      </c>
      <c r="B86" s="292" t="s">
        <v>110</v>
      </c>
      <c r="C86" s="393">
        <v>8</v>
      </c>
      <c r="D86" s="324">
        <v>0.45</v>
      </c>
      <c r="E86" s="325">
        <v>1</v>
      </c>
      <c r="F86" s="325">
        <v>1</v>
      </c>
      <c r="G86" s="326">
        <v>1</v>
      </c>
    </row>
    <row r="87" spans="1:12">
      <c r="A87" s="323" t="s">
        <v>111</v>
      </c>
      <c r="B87" s="292" t="s">
        <v>112</v>
      </c>
      <c r="D87" s="324">
        <v>0.45</v>
      </c>
      <c r="E87" s="392">
        <f>100%-36.4%</f>
        <v>0.63600000000000001</v>
      </c>
      <c r="F87" s="392">
        <f>100%-54.3%</f>
        <v>0.45700000000000007</v>
      </c>
      <c r="G87" s="326">
        <f>100%-0%</f>
        <v>1</v>
      </c>
      <c r="H87" s="294" t="s">
        <v>2</v>
      </c>
    </row>
    <row r="88" spans="1:12">
      <c r="A88" s="323" t="s">
        <v>113</v>
      </c>
      <c r="B88" s="292" t="s">
        <v>114</v>
      </c>
      <c r="D88" s="324">
        <v>0.1</v>
      </c>
      <c r="E88" s="392">
        <f>100%+36.4%</f>
        <v>1.3639999999999999</v>
      </c>
      <c r="F88" s="392">
        <f>100%+72%</f>
        <v>1.72</v>
      </c>
      <c r="G88" s="326">
        <f>100%-0%</f>
        <v>1</v>
      </c>
      <c r="H88" s="294" t="s">
        <v>2</v>
      </c>
    </row>
    <row r="89" spans="1:12">
      <c r="A89" s="327" t="s">
        <v>115</v>
      </c>
      <c r="B89" s="328"/>
      <c r="C89" s="328"/>
      <c r="D89" s="329"/>
      <c r="E89" s="394">
        <f>E86*$D86+E87*$D87+E88*$D88</f>
        <v>0.87259999999999993</v>
      </c>
      <c r="F89" s="394">
        <f>F86*$D86+F87*$D87+F88*$D88</f>
        <v>0.82765000000000011</v>
      </c>
      <c r="G89" s="391">
        <f>G86*$D86+G87*$D87+G88*$D88</f>
        <v>1</v>
      </c>
      <c r="H89" s="321" t="s">
        <v>23</v>
      </c>
      <c r="I89" s="320"/>
      <c r="J89" s="406"/>
      <c r="K89" s="406"/>
    </row>
    <row r="90" spans="1:12" s="320" customFormat="1">
      <c r="A90" s="319" t="s">
        <v>116</v>
      </c>
      <c r="B90" s="332"/>
      <c r="C90" s="332"/>
      <c r="D90" s="333"/>
      <c r="E90" s="332"/>
      <c r="F90" s="332"/>
      <c r="G90" s="334"/>
      <c r="H90" s="292"/>
      <c r="I90" s="292"/>
      <c r="J90" s="401"/>
      <c r="K90" s="401"/>
      <c r="L90" s="406"/>
    </row>
    <row r="91" spans="1:12">
      <c r="A91" s="323" t="s">
        <v>109</v>
      </c>
      <c r="B91" s="292" t="s">
        <v>110</v>
      </c>
      <c r="D91" s="324">
        <v>0.7</v>
      </c>
      <c r="E91" s="325">
        <v>1</v>
      </c>
      <c r="F91" s="325">
        <v>1</v>
      </c>
      <c r="G91" s="326">
        <v>1</v>
      </c>
    </row>
    <row r="92" spans="1:12">
      <c r="A92" s="323" t="s">
        <v>111</v>
      </c>
      <c r="B92" s="292" t="s">
        <v>112</v>
      </c>
      <c r="D92" s="324">
        <v>0.25</v>
      </c>
      <c r="E92" s="325">
        <f>100%-10%</f>
        <v>0.9</v>
      </c>
      <c r="F92" s="325">
        <v>1</v>
      </c>
      <c r="G92" s="326">
        <f>100%-0%</f>
        <v>1</v>
      </c>
      <c r="H92" s="294" t="s">
        <v>2</v>
      </c>
    </row>
    <row r="93" spans="1:12">
      <c r="A93" s="323" t="s">
        <v>113</v>
      </c>
      <c r="B93" s="292" t="s">
        <v>114</v>
      </c>
      <c r="D93" s="324">
        <v>0.05</v>
      </c>
      <c r="E93" s="325">
        <v>1.1000000000000001</v>
      </c>
      <c r="F93" s="325">
        <v>1</v>
      </c>
      <c r="G93" s="326">
        <f>100%-0%</f>
        <v>1</v>
      </c>
      <c r="H93" s="294" t="s">
        <v>2</v>
      </c>
    </row>
    <row r="94" spans="1:12">
      <c r="A94" s="327" t="s">
        <v>115</v>
      </c>
      <c r="B94" s="328"/>
      <c r="C94" s="328"/>
      <c r="D94" s="329"/>
      <c r="E94" s="330">
        <f>E91*$D91+E92*$D92+E93*$D93</f>
        <v>0.98</v>
      </c>
      <c r="F94" s="330">
        <f>F91*$D91+F92*$D92+F93*$D93</f>
        <v>1</v>
      </c>
      <c r="G94" s="331">
        <f>G91*$D91+G92*$D92+G93*$D93</f>
        <v>1</v>
      </c>
      <c r="H94" s="321" t="s">
        <v>23</v>
      </c>
      <c r="I94" s="320"/>
      <c r="J94" s="406"/>
      <c r="K94" s="406"/>
    </row>
    <row r="95" spans="1:12" s="320" customFormat="1">
      <c r="A95" s="319" t="s">
        <v>117</v>
      </c>
      <c r="B95" s="332"/>
      <c r="C95" s="332"/>
      <c r="D95" s="333"/>
      <c r="E95" s="332"/>
      <c r="F95" s="332"/>
      <c r="G95" s="334"/>
      <c r="H95" s="292"/>
      <c r="I95" s="292"/>
      <c r="J95" s="401"/>
      <c r="K95" s="401"/>
      <c r="L95" s="406"/>
    </row>
    <row r="96" spans="1:12">
      <c r="A96" s="323" t="s">
        <v>109</v>
      </c>
      <c r="B96" s="292" t="s">
        <v>110</v>
      </c>
      <c r="D96" s="324">
        <v>0.8</v>
      </c>
      <c r="E96" s="325">
        <v>1</v>
      </c>
      <c r="F96" s="325">
        <v>1</v>
      </c>
      <c r="G96" s="326">
        <v>1</v>
      </c>
    </row>
    <row r="97" spans="1:12">
      <c r="A97" s="323" t="s">
        <v>111</v>
      </c>
      <c r="B97" s="292" t="s">
        <v>112</v>
      </c>
      <c r="D97" s="324">
        <v>0.15</v>
      </c>
      <c r="E97" s="325">
        <f>100%-10%</f>
        <v>0.9</v>
      </c>
      <c r="F97" s="325">
        <v>1</v>
      </c>
      <c r="G97" s="326">
        <f>100%-0%</f>
        <v>1</v>
      </c>
      <c r="H97" s="294" t="s">
        <v>2</v>
      </c>
    </row>
    <row r="98" spans="1:12">
      <c r="A98" s="323" t="s">
        <v>113</v>
      </c>
      <c r="B98" s="292" t="s">
        <v>114</v>
      </c>
      <c r="D98" s="324">
        <v>0.05</v>
      </c>
      <c r="E98" s="325">
        <v>1.1000000000000001</v>
      </c>
      <c r="F98" s="325">
        <v>1</v>
      </c>
      <c r="G98" s="326">
        <f>100%-0%</f>
        <v>1</v>
      </c>
      <c r="H98" s="294" t="s">
        <v>2</v>
      </c>
    </row>
    <row r="99" spans="1:12">
      <c r="A99" s="327" t="s">
        <v>115</v>
      </c>
      <c r="B99" s="328"/>
      <c r="C99" s="328"/>
      <c r="D99" s="329"/>
      <c r="E99" s="330">
        <f>E96*$D96+E97*$D97+E98*$D98</f>
        <v>0.9900000000000001</v>
      </c>
      <c r="F99" s="330">
        <f>F96*$D96+F97*$D97+F98*$D98</f>
        <v>1</v>
      </c>
      <c r="G99" s="331">
        <f>G96*$D96+G97*$D97+G98*$D98</f>
        <v>1</v>
      </c>
      <c r="H99" s="321" t="s">
        <v>23</v>
      </c>
      <c r="I99" s="320"/>
      <c r="J99" s="406"/>
      <c r="K99" s="406"/>
    </row>
    <row r="100" spans="1:12" s="320" customFormat="1">
      <c r="A100" s="319" t="s">
        <v>118</v>
      </c>
      <c r="B100" s="332"/>
      <c r="C100" s="332"/>
      <c r="D100" s="333"/>
      <c r="E100" s="332"/>
      <c r="F100" s="332"/>
      <c r="G100" s="334"/>
      <c r="H100" s="292"/>
      <c r="I100" s="292"/>
      <c r="J100" s="401"/>
      <c r="K100" s="401"/>
      <c r="L100" s="406"/>
    </row>
    <row r="101" spans="1:12">
      <c r="A101" s="323" t="s">
        <v>109</v>
      </c>
      <c r="B101" s="292" t="s">
        <v>110</v>
      </c>
      <c r="D101" s="324">
        <v>0.6</v>
      </c>
      <c r="E101" s="325">
        <v>1</v>
      </c>
      <c r="F101" s="325">
        <v>1</v>
      </c>
      <c r="G101" s="326">
        <v>1</v>
      </c>
    </row>
    <row r="102" spans="1:12">
      <c r="A102" s="323" t="s">
        <v>111</v>
      </c>
      <c r="B102" s="292" t="s">
        <v>112</v>
      </c>
      <c r="D102" s="324">
        <v>0.1</v>
      </c>
      <c r="E102" s="325">
        <f>100%-10%</f>
        <v>0.9</v>
      </c>
      <c r="F102" s="325">
        <v>1</v>
      </c>
      <c r="G102" s="326">
        <f>100%-0%</f>
        <v>1</v>
      </c>
      <c r="H102" s="294" t="s">
        <v>2</v>
      </c>
    </row>
    <row r="103" spans="1:12">
      <c r="A103" s="323" t="s">
        <v>113</v>
      </c>
      <c r="B103" s="292" t="s">
        <v>114</v>
      </c>
      <c r="D103" s="324">
        <v>0.3</v>
      </c>
      <c r="E103" s="325">
        <v>1.1000000000000001</v>
      </c>
      <c r="F103" s="325">
        <v>1</v>
      </c>
      <c r="G103" s="326">
        <f>100%-0%</f>
        <v>1</v>
      </c>
      <c r="H103" s="294" t="s">
        <v>2</v>
      </c>
    </row>
    <row r="104" spans="1:12">
      <c r="A104" s="327" t="s">
        <v>115</v>
      </c>
      <c r="B104" s="328"/>
      <c r="C104" s="328"/>
      <c r="D104" s="329"/>
      <c r="E104" s="330">
        <f>E101*$D101+E102*$D102+E103*$D103</f>
        <v>1.02</v>
      </c>
      <c r="F104" s="330">
        <f>F101*$D101+F102*$D102+F103*$D103</f>
        <v>1</v>
      </c>
      <c r="G104" s="331">
        <f>G101*$D101+G102*$D102+G103*$D103</f>
        <v>1</v>
      </c>
      <c r="H104" s="321" t="s">
        <v>23</v>
      </c>
      <c r="I104" s="320"/>
      <c r="J104" s="406"/>
      <c r="K104" s="406"/>
    </row>
    <row r="105" spans="1:12" s="320" customFormat="1">
      <c r="A105" s="319" t="s">
        <v>119</v>
      </c>
      <c r="B105" s="332"/>
      <c r="C105" s="332"/>
      <c r="D105" s="333"/>
      <c r="E105" s="332"/>
      <c r="F105" s="332"/>
      <c r="G105" s="334"/>
      <c r="H105" s="292"/>
      <c r="I105" s="292"/>
      <c r="J105" s="401"/>
      <c r="K105" s="401"/>
      <c r="L105" s="406"/>
    </row>
    <row r="106" spans="1:12">
      <c r="A106" s="323" t="s">
        <v>109</v>
      </c>
      <c r="B106" s="292" t="s">
        <v>110</v>
      </c>
      <c r="D106" s="324">
        <v>0.8</v>
      </c>
      <c r="E106" s="325">
        <v>1</v>
      </c>
      <c r="F106" s="325">
        <v>1</v>
      </c>
      <c r="G106" s="326">
        <v>1</v>
      </c>
    </row>
    <row r="107" spans="1:12" s="291" customFormat="1">
      <c r="A107" s="323" t="s">
        <v>111</v>
      </c>
      <c r="B107" s="292" t="s">
        <v>112</v>
      </c>
      <c r="C107" s="292"/>
      <c r="D107" s="324">
        <v>0.1</v>
      </c>
      <c r="E107" s="325">
        <f>100%-25%</f>
        <v>0.75</v>
      </c>
      <c r="F107" s="325">
        <f>100%-25%</f>
        <v>0.75</v>
      </c>
      <c r="G107" s="326">
        <f>100%-25%</f>
        <v>0.75</v>
      </c>
      <c r="H107" s="294" t="s">
        <v>2</v>
      </c>
      <c r="I107" s="292"/>
      <c r="J107" s="401"/>
      <c r="K107" s="401"/>
      <c r="L107" s="404"/>
    </row>
    <row r="108" spans="1:12" s="291" customFormat="1">
      <c r="A108" s="323" t="s">
        <v>113</v>
      </c>
      <c r="B108" s="292" t="s">
        <v>114</v>
      </c>
      <c r="C108" s="292"/>
      <c r="D108" s="324">
        <v>0.1</v>
      </c>
      <c r="E108" s="325">
        <f>100%+50%</f>
        <v>1.5</v>
      </c>
      <c r="F108" s="325">
        <f>100%+50%</f>
        <v>1.5</v>
      </c>
      <c r="G108" s="326">
        <f>100%+50%</f>
        <v>1.5</v>
      </c>
      <c r="H108" s="294" t="s">
        <v>2</v>
      </c>
      <c r="I108" s="292"/>
      <c r="J108" s="401"/>
      <c r="K108" s="401"/>
      <c r="L108" s="404"/>
    </row>
    <row r="109" spans="1:12">
      <c r="A109" s="327" t="s">
        <v>115</v>
      </c>
      <c r="B109" s="328"/>
      <c r="C109" s="328"/>
      <c r="D109" s="329"/>
      <c r="E109" s="330">
        <f>E106*$D106+E107*$D107+E108*$D108</f>
        <v>1.0249999999999999</v>
      </c>
      <c r="F109" s="330">
        <f>F106*$D106+F107*$D107+F108*$D108</f>
        <v>1.0249999999999999</v>
      </c>
      <c r="G109" s="331">
        <f>G106*$D106+G107*$D107+G108*$D108</f>
        <v>1.0249999999999999</v>
      </c>
      <c r="H109" s="321" t="s">
        <v>23</v>
      </c>
      <c r="I109" s="320"/>
      <c r="J109" s="406"/>
      <c r="K109" s="406"/>
    </row>
    <row r="110" spans="1:12">
      <c r="A110" s="319" t="s">
        <v>120</v>
      </c>
      <c r="B110" s="332"/>
      <c r="C110" s="332"/>
      <c r="D110" s="333"/>
      <c r="E110" s="332"/>
      <c r="F110" s="332"/>
      <c r="G110" s="334"/>
    </row>
    <row r="111" spans="1:12">
      <c r="A111" s="323" t="s">
        <v>109</v>
      </c>
      <c r="B111" s="292" t="s">
        <v>110</v>
      </c>
      <c r="D111" s="324">
        <v>0.8</v>
      </c>
      <c r="E111" s="325">
        <v>1</v>
      </c>
      <c r="F111" s="325">
        <v>1</v>
      </c>
      <c r="G111" s="326">
        <v>1</v>
      </c>
    </row>
    <row r="112" spans="1:12">
      <c r="A112" s="323" t="s">
        <v>111</v>
      </c>
      <c r="B112" s="292" t="s">
        <v>112</v>
      </c>
      <c r="D112" s="324">
        <v>0.1</v>
      </c>
      <c r="E112" s="325">
        <f>100%-25%</f>
        <v>0.75</v>
      </c>
      <c r="F112" s="325">
        <f>100%-25%</f>
        <v>0.75</v>
      </c>
      <c r="G112" s="326">
        <f>100%-25%</f>
        <v>0.75</v>
      </c>
      <c r="H112" s="294" t="s">
        <v>2</v>
      </c>
    </row>
    <row r="113" spans="1:12">
      <c r="A113" s="323" t="s">
        <v>113</v>
      </c>
      <c r="B113" s="292" t="s">
        <v>114</v>
      </c>
      <c r="D113" s="324">
        <v>0.1</v>
      </c>
      <c r="E113" s="325">
        <f>100%+50%</f>
        <v>1.5</v>
      </c>
      <c r="F113" s="325">
        <f>100%+50%</f>
        <v>1.5</v>
      </c>
      <c r="G113" s="326">
        <f>100%+50%</f>
        <v>1.5</v>
      </c>
      <c r="H113" s="294" t="s">
        <v>2</v>
      </c>
    </row>
    <row r="114" spans="1:12">
      <c r="A114" s="327" t="s">
        <v>115</v>
      </c>
      <c r="B114" s="328"/>
      <c r="C114" s="328"/>
      <c r="D114" s="329"/>
      <c r="E114" s="330">
        <f>E111*$D111+E112*$D112+E113*$D113</f>
        <v>1.0249999999999999</v>
      </c>
      <c r="F114" s="330">
        <f>F111*$D111+F112*$D112+F113*$D113</f>
        <v>1.0249999999999999</v>
      </c>
      <c r="G114" s="331">
        <f>G111*$D111+G112*$D112+G113*$D113</f>
        <v>1.0249999999999999</v>
      </c>
      <c r="H114" s="321" t="s">
        <v>23</v>
      </c>
      <c r="I114" s="320"/>
      <c r="J114" s="406"/>
      <c r="K114" s="406"/>
    </row>
    <row r="116" spans="1:12">
      <c r="A116" s="367" t="s">
        <v>121</v>
      </c>
      <c r="B116" s="291" t="s">
        <v>122</v>
      </c>
      <c r="C116" s="291"/>
      <c r="D116" s="290"/>
      <c r="E116" s="291"/>
      <c r="F116" s="291"/>
      <c r="G116" s="291"/>
      <c r="H116" s="291"/>
      <c r="I116" s="291"/>
      <c r="J116" s="404"/>
      <c r="K116" s="404"/>
    </row>
    <row r="117" spans="1:12" s="291" customFormat="1">
      <c r="A117" s="290"/>
      <c r="B117" s="294" t="s">
        <v>2</v>
      </c>
      <c r="D117" s="290"/>
      <c r="J117" s="404"/>
      <c r="K117" s="404"/>
      <c r="L117" s="404"/>
    </row>
    <row r="118" spans="1:12" ht="29">
      <c r="A118" s="302" t="s">
        <v>3</v>
      </c>
      <c r="B118" s="302" t="s">
        <v>123</v>
      </c>
    </row>
    <row r="119" spans="1:12" ht="43.5">
      <c r="A119" s="295" t="s">
        <v>9</v>
      </c>
      <c r="B119" s="300">
        <v>0.1</v>
      </c>
    </row>
    <row r="120" spans="1:12" ht="43.5">
      <c r="A120" s="295" t="s">
        <v>12</v>
      </c>
      <c r="B120" s="300">
        <v>0.05</v>
      </c>
    </row>
    <row r="121" spans="1:12" ht="29">
      <c r="A121" s="295" t="s">
        <v>14</v>
      </c>
      <c r="B121" s="300">
        <v>0.05</v>
      </c>
    </row>
    <row r="122" spans="1:12" ht="29">
      <c r="A122" s="295" t="s">
        <v>15</v>
      </c>
      <c r="B122" s="300">
        <v>0.05</v>
      </c>
    </row>
    <row r="123" spans="1:12" ht="29">
      <c r="A123" s="295" t="s">
        <v>19</v>
      </c>
      <c r="B123" s="347">
        <v>7.4999999999999997E-2</v>
      </c>
    </row>
    <row r="124" spans="1:12" ht="29">
      <c r="A124" s="295" t="s">
        <v>20</v>
      </c>
      <c r="B124" s="347">
        <v>7.4999999999999997E-2</v>
      </c>
    </row>
    <row r="126" spans="1:12">
      <c r="A126" s="367" t="s">
        <v>124</v>
      </c>
      <c r="B126" s="291" t="s">
        <v>125</v>
      </c>
    </row>
    <row r="127" spans="1:12">
      <c r="B127" s="294" t="s">
        <v>2</v>
      </c>
      <c r="C127" s="294" t="s">
        <v>95</v>
      </c>
      <c r="D127" s="314" t="s">
        <v>23</v>
      </c>
    </row>
    <row r="128" spans="1:12" ht="58">
      <c r="A128" s="302" t="s">
        <v>3</v>
      </c>
      <c r="B128" s="302" t="s">
        <v>126</v>
      </c>
      <c r="C128" s="302" t="s">
        <v>127</v>
      </c>
      <c r="D128" s="421" t="s">
        <v>128</v>
      </c>
      <c r="E128" s="293" t="s">
        <v>129</v>
      </c>
      <c r="F128" s="325">
        <v>0.5</v>
      </c>
    </row>
    <row r="129" spans="1:14" ht="43.5">
      <c r="A129" s="295" t="s">
        <v>9</v>
      </c>
      <c r="B129" s="309">
        <v>81</v>
      </c>
      <c r="C129" s="309">
        <f>B172/100*B129*F128</f>
        <v>21262.5</v>
      </c>
      <c r="D129" s="422">
        <f>C129/300</f>
        <v>70.875</v>
      </c>
    </row>
    <row r="130" spans="1:14" ht="43.5">
      <c r="A130" s="295" t="s">
        <v>12</v>
      </c>
      <c r="B130" s="309">
        <v>86</v>
      </c>
      <c r="C130" s="298">
        <f>B173/100*B130*F128</f>
        <v>102168</v>
      </c>
      <c r="D130" s="422">
        <f>C130/300</f>
        <v>340.56</v>
      </c>
    </row>
    <row r="131" spans="1:14" ht="29">
      <c r="A131" s="295" t="s">
        <v>14</v>
      </c>
      <c r="B131" s="309">
        <v>21</v>
      </c>
      <c r="C131" s="298">
        <f>B174/100*B131*F128</f>
        <v>49896</v>
      </c>
      <c r="D131" s="422">
        <f>C131/300</f>
        <v>166.32</v>
      </c>
    </row>
    <row r="132" spans="1:14" ht="29">
      <c r="A132" s="295" t="s">
        <v>15</v>
      </c>
      <c r="B132" s="309" t="s">
        <v>130</v>
      </c>
      <c r="C132" s="309" t="s">
        <v>130</v>
      </c>
      <c r="D132" s="422"/>
    </row>
    <row r="133" spans="1:14" ht="29">
      <c r="A133" s="295" t="s">
        <v>19</v>
      </c>
      <c r="B133" s="309">
        <v>6</v>
      </c>
      <c r="C133" s="298">
        <f>B176/100*B133*F128</f>
        <v>114048</v>
      </c>
      <c r="D133" s="422">
        <f>C133/330</f>
        <v>345.6</v>
      </c>
    </row>
    <row r="134" spans="1:14" ht="29">
      <c r="A134" s="295" t="s">
        <v>20</v>
      </c>
      <c r="B134" s="309">
        <v>6</v>
      </c>
      <c r="C134" s="298">
        <f>B177/100*B134*F128</f>
        <v>228096</v>
      </c>
      <c r="D134" s="422">
        <f>C134/330</f>
        <v>691.2</v>
      </c>
    </row>
    <row r="136" spans="1:14" ht="43.5">
      <c r="A136" s="367" t="s">
        <v>131</v>
      </c>
      <c r="B136" s="291" t="s">
        <v>132</v>
      </c>
      <c r="C136" s="291"/>
      <c r="D136" s="290"/>
      <c r="E136" s="291"/>
      <c r="F136" s="291"/>
      <c r="G136" s="291"/>
      <c r="H136" s="291"/>
      <c r="I136" s="291"/>
      <c r="J136" s="404"/>
      <c r="K136" s="404"/>
    </row>
    <row r="137" spans="1:14" s="291" customFormat="1">
      <c r="A137" s="293"/>
      <c r="B137" s="294" t="s">
        <v>77</v>
      </c>
      <c r="C137" s="294" t="s">
        <v>2</v>
      </c>
      <c r="D137" s="314" t="s">
        <v>133</v>
      </c>
      <c r="E137" s="294" t="s">
        <v>134</v>
      </c>
      <c r="F137" s="292"/>
      <c r="G137" s="292"/>
      <c r="H137" s="292"/>
      <c r="I137" s="292"/>
      <c r="J137" s="401"/>
      <c r="K137" s="401"/>
      <c r="L137" s="404"/>
    </row>
    <row r="138" spans="1:14" s="294" customFormat="1" ht="58">
      <c r="A138" s="302" t="s">
        <v>3</v>
      </c>
      <c r="B138" s="302" t="s">
        <v>26</v>
      </c>
      <c r="C138" s="304" t="s">
        <v>135</v>
      </c>
      <c r="D138" s="304" t="s">
        <v>136</v>
      </c>
      <c r="E138" s="304" t="s">
        <v>137</v>
      </c>
      <c r="F138" s="302" t="s">
        <v>138</v>
      </c>
      <c r="G138" s="302" t="s">
        <v>139</v>
      </c>
      <c r="H138" s="293"/>
      <c r="I138" s="292"/>
      <c r="J138" s="401"/>
      <c r="K138" s="401"/>
      <c r="L138" s="401"/>
    </row>
    <row r="139" spans="1:14" ht="43.5">
      <c r="A139" s="295" t="s">
        <v>9</v>
      </c>
      <c r="B139" s="298">
        <f>D14</f>
        <v>200</v>
      </c>
      <c r="C139" s="296">
        <v>2</v>
      </c>
      <c r="D139" s="296" t="s">
        <v>140</v>
      </c>
      <c r="E139" s="297" t="s">
        <v>140</v>
      </c>
      <c r="F139" s="299" t="s">
        <v>140</v>
      </c>
      <c r="G139" s="300" t="s">
        <v>140</v>
      </c>
      <c r="L139" s="407"/>
      <c r="M139"/>
      <c r="N139"/>
    </row>
    <row r="140" spans="1:14" ht="43.5">
      <c r="A140" s="295" t="s">
        <v>12</v>
      </c>
      <c r="B140" s="298">
        <f>D15</f>
        <v>300</v>
      </c>
      <c r="C140" s="296">
        <v>2</v>
      </c>
      <c r="D140" s="311" t="s">
        <v>141</v>
      </c>
      <c r="E140" s="301">
        <v>15</v>
      </c>
      <c r="F140" s="310" t="s">
        <v>142</v>
      </c>
      <c r="G140" s="336">
        <v>60</v>
      </c>
      <c r="H140" s="312"/>
      <c r="M140"/>
      <c r="N140"/>
    </row>
    <row r="141" spans="1:14" ht="29">
      <c r="A141" s="295" t="s">
        <v>14</v>
      </c>
      <c r="B141" s="298">
        <f>D16</f>
        <v>300</v>
      </c>
      <c r="C141" s="296">
        <v>2</v>
      </c>
      <c r="D141" s="311" t="s">
        <v>143</v>
      </c>
      <c r="E141" s="297">
        <v>40</v>
      </c>
      <c r="F141" s="310" t="s">
        <v>142</v>
      </c>
      <c r="G141" s="336">
        <v>60</v>
      </c>
      <c r="H141" s="312"/>
      <c r="M141" s="423"/>
      <c r="N141"/>
    </row>
    <row r="142" spans="1:14" ht="29">
      <c r="A142" s="295" t="s">
        <v>15</v>
      </c>
      <c r="B142" s="298">
        <f>D17</f>
        <v>300</v>
      </c>
      <c r="C142" s="296">
        <v>2</v>
      </c>
      <c r="D142" s="311" t="s">
        <v>144</v>
      </c>
      <c r="E142" s="297">
        <v>100</v>
      </c>
      <c r="F142" s="310" t="s">
        <v>142</v>
      </c>
      <c r="G142" s="336">
        <v>60</v>
      </c>
      <c r="H142" s="312"/>
      <c r="M142"/>
      <c r="N142"/>
    </row>
    <row r="143" spans="1:14" ht="29">
      <c r="A143" s="295" t="s">
        <v>19</v>
      </c>
      <c r="B143" s="298">
        <f>D19</f>
        <v>330</v>
      </c>
      <c r="C143" s="296">
        <v>2</v>
      </c>
      <c r="D143" s="311" t="s">
        <v>145</v>
      </c>
      <c r="E143" s="297">
        <v>120</v>
      </c>
      <c r="F143" s="310" t="s">
        <v>142</v>
      </c>
      <c r="G143" s="336">
        <v>60</v>
      </c>
      <c r="H143" s="312"/>
      <c r="M143"/>
      <c r="N143"/>
    </row>
    <row r="144" spans="1:14" ht="58">
      <c r="A144" s="295" t="s">
        <v>20</v>
      </c>
      <c r="B144" s="298">
        <f>D20</f>
        <v>330</v>
      </c>
      <c r="C144" s="296">
        <v>2</v>
      </c>
      <c r="D144" s="335" t="s">
        <v>146</v>
      </c>
      <c r="E144" s="297">
        <v>250</v>
      </c>
      <c r="F144" s="310" t="s">
        <v>142</v>
      </c>
      <c r="G144" s="336">
        <v>60</v>
      </c>
      <c r="H144" s="312"/>
      <c r="M144" s="289"/>
      <c r="N144"/>
    </row>
    <row r="146" spans="1:14" ht="43.5">
      <c r="A146" s="367" t="s">
        <v>147</v>
      </c>
      <c r="B146" s="291" t="s">
        <v>148</v>
      </c>
      <c r="C146" s="291"/>
      <c r="D146" s="290"/>
      <c r="E146" s="291"/>
      <c r="F146" s="291"/>
      <c r="G146" s="291"/>
      <c r="H146" s="291"/>
      <c r="I146" s="291"/>
      <c r="J146" s="404"/>
      <c r="K146" s="404"/>
    </row>
    <row r="147" spans="1:14">
      <c r="A147" s="314"/>
      <c r="B147" s="294" t="s">
        <v>23</v>
      </c>
      <c r="C147" s="294" t="s">
        <v>95</v>
      </c>
      <c r="D147" s="294" t="s">
        <v>95</v>
      </c>
      <c r="E147" s="294" t="s">
        <v>23</v>
      </c>
      <c r="F147" s="314" t="s">
        <v>23</v>
      </c>
      <c r="G147" s="294" t="s">
        <v>23</v>
      </c>
      <c r="H147" s="294"/>
      <c r="I147" s="294"/>
      <c r="J147" s="294"/>
      <c r="K147" s="294"/>
      <c r="M147" s="401"/>
      <c r="N147" s="401"/>
    </row>
    <row r="148" spans="1:14" s="291" customFormat="1" ht="29">
      <c r="A148" s="302" t="s">
        <v>3</v>
      </c>
      <c r="B148" s="414" t="s">
        <v>149</v>
      </c>
      <c r="C148" s="414" t="s">
        <v>150</v>
      </c>
      <c r="D148" s="414" t="s">
        <v>151</v>
      </c>
      <c r="E148" s="656" t="s">
        <v>78</v>
      </c>
      <c r="F148" s="657"/>
      <c r="G148" s="340" t="s">
        <v>152</v>
      </c>
      <c r="H148" s="292"/>
      <c r="I148" s="293"/>
      <c r="J148" s="292"/>
      <c r="K148">
        <v>15</v>
      </c>
      <c r="L148" s="418" t="s">
        <v>153</v>
      </c>
      <c r="N148" s="404"/>
    </row>
    <row r="149" spans="1:14" s="294" customFormat="1">
      <c r="A149" s="302"/>
      <c r="B149" s="341" t="s">
        <v>154</v>
      </c>
      <c r="C149" s="341" t="s">
        <v>154</v>
      </c>
      <c r="D149" s="341" t="s">
        <v>154</v>
      </c>
      <c r="E149" s="296" t="s">
        <v>155</v>
      </c>
      <c r="F149" s="338" t="s">
        <v>156</v>
      </c>
      <c r="G149" s="342" t="s">
        <v>157</v>
      </c>
      <c r="H149" s="292"/>
      <c r="I149" s="292"/>
      <c r="J149" s="292"/>
      <c r="K149">
        <v>45</v>
      </c>
      <c r="L149" s="418" t="s">
        <v>153</v>
      </c>
      <c r="M149" s="418" t="s">
        <v>158</v>
      </c>
      <c r="N149" s="401"/>
    </row>
    <row r="150" spans="1:14" ht="43.5">
      <c r="A150" s="295" t="s">
        <v>9</v>
      </c>
      <c r="B150" s="339" t="s">
        <v>140</v>
      </c>
      <c r="C150" s="339" t="s">
        <v>140</v>
      </c>
      <c r="D150" s="339" t="s">
        <v>140</v>
      </c>
      <c r="E150" s="296" t="s">
        <v>140</v>
      </c>
      <c r="F150" s="296" t="s">
        <v>140</v>
      </c>
      <c r="G150" s="342" t="s">
        <v>140</v>
      </c>
      <c r="J150" s="292"/>
      <c r="K150">
        <v>4.1900000000000004</v>
      </c>
      <c r="L150" s="419" t="s">
        <v>159</v>
      </c>
      <c r="M150" s="420" t="s">
        <v>160</v>
      </c>
      <c r="N150" s="401"/>
    </row>
    <row r="151" spans="1:14" ht="43.5">
      <c r="A151" s="295" t="s">
        <v>12</v>
      </c>
      <c r="B151" s="297">
        <f>E140*C140*B140</f>
        <v>9000</v>
      </c>
      <c r="C151" s="297">
        <f>B151*B258</f>
        <v>7200</v>
      </c>
      <c r="D151" s="297">
        <f>B151*E258</f>
        <v>1800</v>
      </c>
      <c r="E151" s="337">
        <f>C151*$K$149*$K$150/$K$152/K151</f>
        <v>419.00000000000006</v>
      </c>
      <c r="F151" s="337" t="s">
        <v>161</v>
      </c>
      <c r="G151" s="296">
        <f>B151*$C$26/1000</f>
        <v>27</v>
      </c>
      <c r="J151" s="293"/>
      <c r="K151" s="412">
        <v>0.9</v>
      </c>
      <c r="L151" s="418" t="s">
        <v>162</v>
      </c>
      <c r="M151" s="418" t="s">
        <v>163</v>
      </c>
      <c r="N151" s="401"/>
    </row>
    <row r="152" spans="1:14" ht="29">
      <c r="A152" s="295" t="s">
        <v>14</v>
      </c>
      <c r="B152" s="297">
        <f>E141*C141*B141</f>
        <v>24000</v>
      </c>
      <c r="C152" s="297">
        <f>B152*B259</f>
        <v>18000</v>
      </c>
      <c r="D152" s="297">
        <f>B152*E259</f>
        <v>6000</v>
      </c>
      <c r="E152" s="337">
        <f>C152*$K$149*$K$150/$K$152/K151</f>
        <v>1047.5</v>
      </c>
      <c r="F152" s="337" t="s">
        <v>161</v>
      </c>
      <c r="G152" s="296">
        <f t="shared" ref="G152:G155" si="11">B152*$C$26/1000</f>
        <v>72</v>
      </c>
      <c r="J152" s="292"/>
      <c r="K152">
        <v>3600</v>
      </c>
      <c r="L152" s="418" t="s">
        <v>164</v>
      </c>
      <c r="M152" s="418" t="s">
        <v>165</v>
      </c>
      <c r="N152" s="401"/>
    </row>
    <row r="153" spans="1:14" ht="29">
      <c r="A153" s="295" t="s">
        <v>15</v>
      </c>
      <c r="B153" s="297">
        <f>E142*C142*B142</f>
        <v>60000</v>
      </c>
      <c r="C153" s="297">
        <f>B153*B260</f>
        <v>42000</v>
      </c>
      <c r="D153" s="297">
        <f>B153*(D260+E260)</f>
        <v>18000</v>
      </c>
      <c r="E153" s="337">
        <f>C153*$K$149*$K$150/$K$152/K151</f>
        <v>2444.166666666667</v>
      </c>
      <c r="F153" s="337" t="s">
        <v>161</v>
      </c>
      <c r="G153" s="296">
        <f t="shared" si="11"/>
        <v>180</v>
      </c>
      <c r="J153" s="292"/>
      <c r="K153"/>
      <c r="L153" s="407"/>
      <c r="M153" s="418"/>
      <c r="N153" s="401"/>
    </row>
    <row r="154" spans="1:14" ht="29">
      <c r="A154" s="295" t="s">
        <v>19</v>
      </c>
      <c r="B154" s="297">
        <f>E143*C143*B143</f>
        <v>79200</v>
      </c>
      <c r="C154" s="297">
        <f>B154*B261</f>
        <v>47520</v>
      </c>
      <c r="D154" s="297">
        <f>B154*(D261+E261)</f>
        <v>31679.999999999996</v>
      </c>
      <c r="E154" s="337">
        <f>C154*$K$149*$K$150/$K$152/K151</f>
        <v>2765.4</v>
      </c>
      <c r="F154" s="337" t="s">
        <v>161</v>
      </c>
      <c r="G154" s="337">
        <f t="shared" si="11"/>
        <v>237.6</v>
      </c>
      <c r="J154" s="292"/>
      <c r="K154" s="292"/>
      <c r="L154" s="398"/>
      <c r="M154" s="398"/>
      <c r="N154" s="401"/>
    </row>
    <row r="155" spans="1:14" ht="29">
      <c r="A155" s="295" t="s">
        <v>20</v>
      </c>
      <c r="B155" s="297">
        <f>E144*C144*B144</f>
        <v>165000</v>
      </c>
      <c r="C155" s="297">
        <f>B155*B262</f>
        <v>99000</v>
      </c>
      <c r="D155" s="297">
        <f>B155*(D262+E262)</f>
        <v>66000</v>
      </c>
      <c r="E155" s="337">
        <f>C155*$K$149*$K$150/$K$152/K151</f>
        <v>5761.25</v>
      </c>
      <c r="F155" s="337" t="s">
        <v>161</v>
      </c>
      <c r="G155" s="296">
        <f t="shared" si="11"/>
        <v>495</v>
      </c>
      <c r="J155" s="292"/>
      <c r="K155" s="292"/>
      <c r="M155" s="401"/>
      <c r="N155" s="401"/>
    </row>
    <row r="156" spans="1:14">
      <c r="B156" s="413" t="s">
        <v>166</v>
      </c>
    </row>
    <row r="157" spans="1:14">
      <c r="B157" s="413"/>
    </row>
    <row r="158" spans="1:14" ht="43.5">
      <c r="A158" s="367" t="s">
        <v>167</v>
      </c>
      <c r="B158" s="291" t="s">
        <v>168</v>
      </c>
      <c r="C158" s="291"/>
      <c r="D158" s="290"/>
      <c r="E158" s="291"/>
      <c r="F158" s="291"/>
      <c r="G158" s="291"/>
      <c r="H158" s="291"/>
      <c r="I158" s="291"/>
      <c r="J158" s="404"/>
      <c r="K158" s="404"/>
    </row>
    <row r="159" spans="1:14">
      <c r="A159" s="314"/>
      <c r="B159" s="294" t="s">
        <v>2</v>
      </c>
      <c r="C159" s="294" t="s">
        <v>2</v>
      </c>
      <c r="D159" s="314" t="s">
        <v>2</v>
      </c>
      <c r="E159" s="294" t="s">
        <v>2</v>
      </c>
      <c r="F159" s="294" t="s">
        <v>134</v>
      </c>
      <c r="G159" s="294" t="s">
        <v>134</v>
      </c>
      <c r="H159" s="294"/>
      <c r="I159" s="294"/>
    </row>
    <row r="160" spans="1:14" s="291" customFormat="1">
      <c r="A160" s="293"/>
      <c r="B160" s="292"/>
      <c r="C160" s="344" t="s">
        <v>169</v>
      </c>
      <c r="D160" s="345"/>
      <c r="E160" s="292"/>
      <c r="F160" s="292"/>
      <c r="G160" s="292"/>
      <c r="H160" s="292"/>
      <c r="I160" s="292"/>
      <c r="J160" s="401"/>
      <c r="K160" s="401"/>
      <c r="L160" s="404"/>
    </row>
    <row r="161" spans="1:12" s="294" customFormat="1" ht="43.5">
      <c r="A161" s="302" t="s">
        <v>3</v>
      </c>
      <c r="B161" s="304" t="s">
        <v>170</v>
      </c>
      <c r="C161" s="304" t="s">
        <v>171</v>
      </c>
      <c r="D161" s="304" t="s">
        <v>172</v>
      </c>
      <c r="E161" s="304" t="s">
        <v>173</v>
      </c>
      <c r="F161" s="364" t="s">
        <v>174</v>
      </c>
      <c r="G161" s="364" t="s">
        <v>175</v>
      </c>
      <c r="H161" s="292"/>
      <c r="I161" s="415"/>
      <c r="J161" s="415"/>
      <c r="K161" s="415"/>
      <c r="L161" s="415"/>
    </row>
    <row r="162" spans="1:12" ht="43.5">
      <c r="A162" s="295" t="s">
        <v>9</v>
      </c>
      <c r="B162" s="343" t="s">
        <v>176</v>
      </c>
      <c r="C162" s="296" t="s">
        <v>140</v>
      </c>
      <c r="D162" s="297">
        <v>2.6</v>
      </c>
      <c r="E162" s="296">
        <v>0.01</v>
      </c>
      <c r="I162" s="398"/>
      <c r="J162" s="398"/>
      <c r="K162" s="416"/>
      <c r="L162" s="416"/>
    </row>
    <row r="163" spans="1:12" ht="43.5">
      <c r="A163" s="295" t="s">
        <v>12</v>
      </c>
      <c r="B163" s="343" t="s">
        <v>177</v>
      </c>
      <c r="C163" s="343" t="s">
        <v>178</v>
      </c>
      <c r="D163" s="343" t="s">
        <v>140</v>
      </c>
      <c r="E163" s="343" t="s">
        <v>179</v>
      </c>
      <c r="F163" s="363">
        <f>AVERAGE(6,12)</f>
        <v>9</v>
      </c>
      <c r="G163" s="362">
        <v>0.16</v>
      </c>
      <c r="I163" s="417"/>
      <c r="J163" s="398"/>
      <c r="K163" s="398"/>
      <c r="L163" s="398"/>
    </row>
    <row r="164" spans="1:12" ht="29">
      <c r="A164" s="295" t="s">
        <v>14</v>
      </c>
      <c r="B164" s="343" t="s">
        <v>177</v>
      </c>
      <c r="C164" s="343" t="s">
        <v>180</v>
      </c>
      <c r="D164" s="343" t="s">
        <v>140</v>
      </c>
      <c r="E164" s="343" t="s">
        <v>181</v>
      </c>
      <c r="F164" s="363">
        <f>AVERAGE(7,10)</f>
        <v>8.5</v>
      </c>
      <c r="G164" s="362">
        <v>0.26</v>
      </c>
      <c r="I164" s="417"/>
      <c r="J164" s="398"/>
      <c r="K164" s="398"/>
      <c r="L164" s="398"/>
    </row>
    <row r="165" spans="1:12" ht="29">
      <c r="A165" s="295" t="s">
        <v>15</v>
      </c>
      <c r="B165" s="343" t="s">
        <v>182</v>
      </c>
      <c r="C165" s="343" t="s">
        <v>183</v>
      </c>
      <c r="D165" s="343" t="s">
        <v>140</v>
      </c>
      <c r="E165" s="343" t="s">
        <v>184</v>
      </c>
      <c r="F165" s="363">
        <f>AVERAGE(7,11)</f>
        <v>9</v>
      </c>
      <c r="G165" s="362">
        <f>AVERAGE(0.1,1)</f>
        <v>0.55000000000000004</v>
      </c>
      <c r="I165" s="417"/>
      <c r="J165" s="398"/>
      <c r="K165" s="398"/>
      <c r="L165" s="398"/>
    </row>
    <row r="166" spans="1:12" ht="29">
      <c r="A166" s="295" t="s">
        <v>19</v>
      </c>
      <c r="B166" s="343" t="s">
        <v>185</v>
      </c>
      <c r="C166" s="369" t="s">
        <v>186</v>
      </c>
      <c r="D166" s="343" t="s">
        <v>140</v>
      </c>
      <c r="E166" s="343" t="s">
        <v>187</v>
      </c>
      <c r="F166" s="370">
        <v>4.5</v>
      </c>
      <c r="G166" s="362">
        <f>AVERAGE(0.8,2.1)</f>
        <v>1.4500000000000002</v>
      </c>
      <c r="I166" s="417"/>
      <c r="J166" s="398"/>
      <c r="K166" s="398"/>
      <c r="L166" s="398"/>
    </row>
    <row r="167" spans="1:12" ht="29">
      <c r="A167" s="295" t="s">
        <v>20</v>
      </c>
      <c r="B167" s="343" t="s">
        <v>185</v>
      </c>
      <c r="C167" s="369" t="s">
        <v>186</v>
      </c>
      <c r="D167" s="343" t="s">
        <v>140</v>
      </c>
      <c r="E167" s="343" t="s">
        <v>188</v>
      </c>
      <c r="F167" s="370">
        <v>4.5</v>
      </c>
      <c r="G167" s="362">
        <f>AVERAGE(1.5,2.2)</f>
        <v>1.85</v>
      </c>
      <c r="I167" s="417"/>
      <c r="J167" s="398"/>
      <c r="K167" s="398"/>
      <c r="L167" s="398"/>
    </row>
    <row r="169" spans="1:12" ht="43.5">
      <c r="A169" s="367" t="s">
        <v>189</v>
      </c>
      <c r="B169" s="291" t="s">
        <v>190</v>
      </c>
      <c r="C169" s="291"/>
      <c r="D169" s="290"/>
      <c r="E169" s="291"/>
      <c r="F169" s="291"/>
      <c r="G169" s="291"/>
      <c r="H169" s="291"/>
      <c r="I169" s="291"/>
      <c r="J169" s="404"/>
      <c r="K169" s="404"/>
    </row>
    <row r="170" spans="1:12" s="291" customFormat="1">
      <c r="A170" s="314"/>
      <c r="B170" s="294" t="s">
        <v>77</v>
      </c>
      <c r="C170" s="294" t="s">
        <v>77</v>
      </c>
      <c r="D170" s="314" t="s">
        <v>77</v>
      </c>
      <c r="E170" s="294" t="s">
        <v>77</v>
      </c>
      <c r="F170" s="294" t="s">
        <v>77</v>
      </c>
      <c r="G170" s="294" t="s">
        <v>77</v>
      </c>
      <c r="H170" s="294"/>
      <c r="I170" s="294"/>
      <c r="J170" s="401"/>
      <c r="K170" s="401"/>
      <c r="L170" s="404"/>
    </row>
    <row r="171" spans="1:12" s="294" customFormat="1" ht="43.5">
      <c r="A171" s="302" t="s">
        <v>3</v>
      </c>
      <c r="B171" s="302" t="s">
        <v>28</v>
      </c>
      <c r="C171" s="302" t="s">
        <v>7</v>
      </c>
      <c r="D171" s="302" t="s">
        <v>191</v>
      </c>
      <c r="E171" s="302" t="s">
        <v>192</v>
      </c>
      <c r="F171" s="302" t="s">
        <v>193</v>
      </c>
      <c r="G171" s="302" t="s">
        <v>194</v>
      </c>
      <c r="H171" s="292"/>
      <c r="I171" s="292"/>
      <c r="J171" s="401"/>
      <c r="K171" s="401"/>
      <c r="L171" s="401"/>
    </row>
    <row r="172" spans="1:12" ht="43.5">
      <c r="A172" s="295" t="s">
        <v>9</v>
      </c>
      <c r="B172" s="298">
        <f t="shared" ref="B172:C175" si="12">F14</f>
        <v>52500</v>
      </c>
      <c r="C172" s="298" t="str">
        <f t="shared" si="12"/>
        <v>dishes/year</v>
      </c>
      <c r="D172" s="346">
        <f t="shared" ref="D172:D177" si="13">G183</f>
        <v>1503.0040000000001</v>
      </c>
      <c r="E172" s="309">
        <f>H194</f>
        <v>43989.925000000003</v>
      </c>
      <c r="F172" s="309">
        <f t="shared" ref="F172:F177" si="14">G205</f>
        <v>30.8</v>
      </c>
      <c r="G172" s="346" t="str">
        <f>G216</f>
        <v xml:space="preserve">integrated detergent and rinse aid </v>
      </c>
    </row>
    <row r="173" spans="1:12" ht="43.5">
      <c r="A173" s="295" t="s">
        <v>12</v>
      </c>
      <c r="B173" s="298">
        <f t="shared" si="12"/>
        <v>237600</v>
      </c>
      <c r="C173" s="298" t="str">
        <f t="shared" si="12"/>
        <v>dishes/year</v>
      </c>
      <c r="D173" s="346">
        <f t="shared" si="13"/>
        <v>6969.2</v>
      </c>
      <c r="E173" s="309">
        <f t="shared" ref="E173:E177" si="15">H195</f>
        <v>163153.39500000002</v>
      </c>
      <c r="F173" s="309">
        <f t="shared" si="14"/>
        <v>182.95618500000003</v>
      </c>
      <c r="G173" s="309">
        <f>G217</f>
        <v>15.5956185</v>
      </c>
    </row>
    <row r="174" spans="1:12" ht="29">
      <c r="A174" s="295" t="s">
        <v>14</v>
      </c>
      <c r="B174" s="298">
        <f t="shared" si="12"/>
        <v>475200</v>
      </c>
      <c r="C174" s="298" t="str">
        <f t="shared" si="12"/>
        <v>dishes/year</v>
      </c>
      <c r="D174" s="346">
        <f t="shared" si="13"/>
        <v>14065.7</v>
      </c>
      <c r="E174" s="309">
        <f t="shared" si="15"/>
        <v>154977</v>
      </c>
      <c r="F174" s="309">
        <f t="shared" si="14"/>
        <v>315.24299999999999</v>
      </c>
      <c r="G174" s="309">
        <f t="shared" ref="G174:G177" si="16">G218</f>
        <v>24.324300000000001</v>
      </c>
    </row>
    <row r="175" spans="1:12" ht="29">
      <c r="A175" s="295" t="s">
        <v>15</v>
      </c>
      <c r="B175" s="298">
        <f t="shared" si="12"/>
        <v>9000</v>
      </c>
      <c r="C175" s="298" t="str">
        <f t="shared" si="12"/>
        <v>cycles/year</v>
      </c>
      <c r="D175" s="346">
        <f t="shared" si="13"/>
        <v>12114.666666666668</v>
      </c>
      <c r="E175" s="309">
        <f t="shared" si="15"/>
        <v>116700</v>
      </c>
      <c r="F175" s="309">
        <f t="shared" si="14"/>
        <v>323.64</v>
      </c>
      <c r="G175" s="309">
        <f t="shared" si="16"/>
        <v>17.009999999999998</v>
      </c>
    </row>
    <row r="176" spans="1:12" ht="29">
      <c r="A176" s="295" t="s">
        <v>19</v>
      </c>
      <c r="B176" s="298">
        <f>F19</f>
        <v>3801600</v>
      </c>
      <c r="C176" s="298" t="str">
        <f>G19</f>
        <v>dishes/year</v>
      </c>
      <c r="D176" s="346">
        <f t="shared" si="13"/>
        <v>109462.64999999998</v>
      </c>
      <c r="E176" s="309">
        <f t="shared" si="15"/>
        <v>820512</v>
      </c>
      <c r="F176" s="309">
        <f t="shared" si="14"/>
        <v>1931.2127999999998</v>
      </c>
      <c r="G176" s="309">
        <f t="shared" si="16"/>
        <v>188.17919999999995</v>
      </c>
    </row>
    <row r="177" spans="1:12" ht="29">
      <c r="A177" s="295" t="s">
        <v>20</v>
      </c>
      <c r="B177" s="298">
        <f>F20</f>
        <v>7603200</v>
      </c>
      <c r="C177" s="298" t="str">
        <f>G20</f>
        <v>dishes/year</v>
      </c>
      <c r="D177" s="346">
        <f t="shared" si="13"/>
        <v>217596.49999999997</v>
      </c>
      <c r="E177" s="309">
        <f t="shared" si="15"/>
        <v>1229448</v>
      </c>
      <c r="F177" s="309">
        <f t="shared" si="14"/>
        <v>2753.1504</v>
      </c>
      <c r="G177" s="309">
        <f t="shared" si="16"/>
        <v>250.90559999999999</v>
      </c>
    </row>
    <row r="179" spans="1:12" ht="43.5">
      <c r="A179" s="367" t="s">
        <v>195</v>
      </c>
      <c r="B179" s="291" t="s">
        <v>196</v>
      </c>
      <c r="C179" s="291"/>
      <c r="D179" s="290"/>
      <c r="E179" s="291"/>
      <c r="F179" s="291"/>
      <c r="G179" s="291"/>
      <c r="H179" s="291"/>
      <c r="I179" s="291"/>
      <c r="J179" s="404"/>
      <c r="K179" s="404"/>
    </row>
    <row r="180" spans="1:12">
      <c r="A180" s="314"/>
      <c r="B180" s="294" t="s">
        <v>197</v>
      </c>
      <c r="C180" s="294" t="s">
        <v>23</v>
      </c>
      <c r="D180" s="314" t="s">
        <v>23</v>
      </c>
      <c r="E180" s="294" t="s">
        <v>23</v>
      </c>
      <c r="F180" s="294" t="s">
        <v>23</v>
      </c>
      <c r="G180" s="294" t="s">
        <v>23</v>
      </c>
      <c r="H180" s="294" t="s">
        <v>23</v>
      </c>
      <c r="I180" s="294"/>
    </row>
    <row r="181" spans="1:12">
      <c r="C181" s="322" t="s">
        <v>198</v>
      </c>
      <c r="D181" s="316"/>
      <c r="E181" s="316"/>
      <c r="F181" s="317"/>
      <c r="I181" s="401"/>
      <c r="L181" s="292"/>
    </row>
    <row r="182" spans="1:12" ht="43.5">
      <c r="A182" s="302" t="s">
        <v>3</v>
      </c>
      <c r="B182" s="354" t="s">
        <v>199</v>
      </c>
      <c r="C182" s="302" t="s">
        <v>200</v>
      </c>
      <c r="D182" s="305" t="s">
        <v>201</v>
      </c>
      <c r="E182" s="302" t="s">
        <v>202</v>
      </c>
      <c r="F182" s="305" t="s">
        <v>203</v>
      </c>
      <c r="G182" s="352" t="s">
        <v>204</v>
      </c>
      <c r="H182" s="352" t="s">
        <v>205</v>
      </c>
      <c r="I182" s="403" t="s">
        <v>206</v>
      </c>
      <c r="J182" s="403"/>
      <c r="L182" s="292"/>
    </row>
    <row r="183" spans="1:12" ht="43.5">
      <c r="A183" s="295" t="s">
        <v>9</v>
      </c>
      <c r="B183" s="353">
        <f t="shared" ref="B183:B188" si="17">D64</f>
        <v>1540.0000000000002</v>
      </c>
      <c r="C183" s="424">
        <f>(B183*E89)-B183</f>
        <v>-196.19600000000014</v>
      </c>
      <c r="D183" s="361">
        <f>B183*$B$119</f>
        <v>154.00000000000003</v>
      </c>
      <c r="E183" s="425" t="s">
        <v>140</v>
      </c>
      <c r="F183" s="361">
        <f>D14*D162*E162</f>
        <v>5.2</v>
      </c>
      <c r="G183" s="351">
        <f>B183+C183+D183+F183</f>
        <v>1503.0040000000001</v>
      </c>
      <c r="H183" s="426">
        <f>G183/F14*100</f>
        <v>2.862864761904762</v>
      </c>
      <c r="I183" s="401"/>
      <c r="L183" s="292"/>
    </row>
    <row r="184" spans="1:12" ht="43.5">
      <c r="A184" s="295" t="s">
        <v>12</v>
      </c>
      <c r="B184" s="353">
        <f t="shared" si="17"/>
        <v>5940</v>
      </c>
      <c r="C184" s="424">
        <f>(B184*E94)-B184</f>
        <v>-118.80000000000018</v>
      </c>
      <c r="D184" s="361">
        <f>B184*$B$120</f>
        <v>297</v>
      </c>
      <c r="E184" s="361">
        <f>E151</f>
        <v>419.00000000000006</v>
      </c>
      <c r="F184" s="361">
        <f>D15*F163*G163</f>
        <v>432</v>
      </c>
      <c r="G184" s="351">
        <f>SUM(B184:F184)</f>
        <v>6969.2</v>
      </c>
      <c r="H184" s="426">
        <f>G184/F15*100</f>
        <v>2.9331649831649829</v>
      </c>
      <c r="L184" s="292"/>
    </row>
    <row r="185" spans="1:12" ht="29">
      <c r="A185" s="295" t="s">
        <v>14</v>
      </c>
      <c r="B185" s="353">
        <f t="shared" si="17"/>
        <v>11880</v>
      </c>
      <c r="C185" s="424">
        <f>(B185*E99)-B185</f>
        <v>-118.79999999999927</v>
      </c>
      <c r="D185" s="361">
        <f>B185*$B$121</f>
        <v>594</v>
      </c>
      <c r="E185" s="361">
        <f>E152</f>
        <v>1047.5</v>
      </c>
      <c r="F185" s="361">
        <f>D16*F164*G164</f>
        <v>663</v>
      </c>
      <c r="G185" s="351">
        <f>SUM(B185:F185)</f>
        <v>14065.7</v>
      </c>
      <c r="H185" s="426">
        <f>G185/F16*100</f>
        <v>2.9599537037037038</v>
      </c>
      <c r="I185" s="401"/>
      <c r="L185" s="292"/>
    </row>
    <row r="186" spans="1:12" ht="29">
      <c r="A186" s="295" t="s">
        <v>15</v>
      </c>
      <c r="B186" s="353">
        <f t="shared" si="17"/>
        <v>7650</v>
      </c>
      <c r="C186" s="424">
        <f>(B186*E104)-B186</f>
        <v>153</v>
      </c>
      <c r="D186" s="361">
        <f>B186*$B$122</f>
        <v>382.5</v>
      </c>
      <c r="E186" s="361">
        <f>E153</f>
        <v>2444.166666666667</v>
      </c>
      <c r="F186" s="361">
        <f>D17*F165*G165</f>
        <v>1485.0000000000002</v>
      </c>
      <c r="G186" s="351">
        <f>SUM(B186:F186)</f>
        <v>12114.666666666668</v>
      </c>
      <c r="H186" s="426">
        <f>G186/F17</f>
        <v>1.3460740740740742</v>
      </c>
      <c r="I186" s="398" t="s">
        <v>669</v>
      </c>
      <c r="L186" s="292"/>
    </row>
    <row r="187" spans="1:12" ht="29">
      <c r="A187" s="295" t="s">
        <v>19</v>
      </c>
      <c r="B187" s="353">
        <f t="shared" si="17"/>
        <v>95040</v>
      </c>
      <c r="C187" s="424">
        <f>(B187*E109)-B187</f>
        <v>2375.9999999999854</v>
      </c>
      <c r="D187" s="361">
        <f>B187*$B$123</f>
        <v>7128</v>
      </c>
      <c r="E187" s="361">
        <f>E154</f>
        <v>2765.4</v>
      </c>
      <c r="F187" s="361">
        <f>D19*F166*G166</f>
        <v>2153.2500000000005</v>
      </c>
      <c r="G187" s="351">
        <f>SUM(B187:F187)</f>
        <v>109462.64999999998</v>
      </c>
      <c r="H187" s="426">
        <f>G187/F19*100</f>
        <v>2.8793836805555548</v>
      </c>
      <c r="I187" s="401"/>
      <c r="L187" s="292"/>
    </row>
    <row r="188" spans="1:12" ht="29">
      <c r="A188" s="295" t="s">
        <v>20</v>
      </c>
      <c r="B188" s="353">
        <f t="shared" si="17"/>
        <v>190080</v>
      </c>
      <c r="C188" s="424">
        <f>(B188*E114)-B188</f>
        <v>4751.9999999999709</v>
      </c>
      <c r="D188" s="361">
        <f>B188*$B$124</f>
        <v>14256</v>
      </c>
      <c r="E188" s="361">
        <f>E155</f>
        <v>5761.25</v>
      </c>
      <c r="F188" s="361">
        <f>D20*F167*G167</f>
        <v>2747.25</v>
      </c>
      <c r="G188" s="351">
        <f>SUM(B188:F188)</f>
        <v>217596.49999999997</v>
      </c>
      <c r="H188" s="426">
        <f>G188/F20*100</f>
        <v>2.8619068287037033</v>
      </c>
      <c r="I188" s="401"/>
      <c r="L188" s="292"/>
    </row>
    <row r="190" spans="1:12" ht="43.5">
      <c r="A190" s="367" t="s">
        <v>207</v>
      </c>
      <c r="B190" s="291" t="s">
        <v>208</v>
      </c>
      <c r="C190" s="291"/>
      <c r="D190" s="290"/>
      <c r="E190" s="291"/>
      <c r="F190" s="291"/>
      <c r="G190" s="291"/>
      <c r="H190" s="291"/>
    </row>
    <row r="191" spans="1:12">
      <c r="A191" s="314"/>
      <c r="B191" s="294" t="s">
        <v>77</v>
      </c>
      <c r="C191" s="294" t="s">
        <v>23</v>
      </c>
      <c r="D191" s="314" t="s">
        <v>23</v>
      </c>
      <c r="E191" s="294" t="s">
        <v>77</v>
      </c>
      <c r="F191" s="294" t="s">
        <v>77</v>
      </c>
      <c r="G191" s="294" t="s">
        <v>140</v>
      </c>
      <c r="H191" s="294" t="s">
        <v>23</v>
      </c>
      <c r="I191" s="294" t="s">
        <v>23</v>
      </c>
    </row>
    <row r="192" spans="1:12">
      <c r="D192" s="322" t="s">
        <v>209</v>
      </c>
      <c r="E192" s="316"/>
      <c r="F192" s="316"/>
      <c r="G192" s="317"/>
    </row>
    <row r="193" spans="1:12" ht="43.5">
      <c r="A193" s="302" t="s">
        <v>3</v>
      </c>
      <c r="B193" s="354" t="s">
        <v>210</v>
      </c>
      <c r="C193" s="302" t="s">
        <v>200</v>
      </c>
      <c r="D193" s="305" t="s">
        <v>201</v>
      </c>
      <c r="E193" s="302" t="s">
        <v>211</v>
      </c>
      <c r="F193" s="302" t="s">
        <v>212</v>
      </c>
      <c r="G193" s="305" t="s">
        <v>203</v>
      </c>
      <c r="H193" s="352" t="s">
        <v>213</v>
      </c>
      <c r="I193" s="352" t="s">
        <v>214</v>
      </c>
    </row>
    <row r="194" spans="1:12" ht="43.5">
      <c r="A194" s="295" t="s">
        <v>9</v>
      </c>
      <c r="B194" s="353">
        <f t="shared" ref="B194:B199" si="18">D42</f>
        <v>24500</v>
      </c>
      <c r="C194" s="346">
        <f>(B194*F89)-B194</f>
        <v>-4222.5749999999971</v>
      </c>
      <c r="D194" s="309">
        <f>B194*$B$119</f>
        <v>2450</v>
      </c>
      <c r="E194" s="348" t="s">
        <v>140</v>
      </c>
      <c r="F194" s="309">
        <f>C129</f>
        <v>21262.5</v>
      </c>
      <c r="G194" s="298" t="s">
        <v>140</v>
      </c>
      <c r="H194" s="351">
        <f>B194+F194+C194+D194</f>
        <v>43989.925000000003</v>
      </c>
      <c r="I194" s="427">
        <f>H194/F14*100</f>
        <v>83.790333333333336</v>
      </c>
    </row>
    <row r="195" spans="1:12" ht="43.5">
      <c r="A195" s="295" t="s">
        <v>12</v>
      </c>
      <c r="B195" s="353">
        <f t="shared" si="18"/>
        <v>49509.9</v>
      </c>
      <c r="C195" s="346">
        <f>(B195*F94)-B195</f>
        <v>0</v>
      </c>
      <c r="D195" s="309">
        <f>B195*$B$120</f>
        <v>2475.4950000000003</v>
      </c>
      <c r="E195" s="309">
        <f>B151</f>
        <v>9000</v>
      </c>
      <c r="F195" s="309">
        <f t="shared" ref="F195:F199" si="19">C130</f>
        <v>102168</v>
      </c>
      <c r="G195" s="298" t="s">
        <v>140</v>
      </c>
      <c r="H195" s="351">
        <f>SUM(B195:F195)</f>
        <v>163153.39500000002</v>
      </c>
      <c r="I195" s="427">
        <f>H195/F15*100</f>
        <v>68.667253787878792</v>
      </c>
    </row>
    <row r="196" spans="1:12" ht="29">
      <c r="A196" s="295" t="s">
        <v>14</v>
      </c>
      <c r="B196" s="353">
        <f t="shared" si="18"/>
        <v>77220</v>
      </c>
      <c r="C196" s="346">
        <f>(B196*F99)-B196</f>
        <v>0</v>
      </c>
      <c r="D196" s="309">
        <f>B196*$B$121</f>
        <v>3861</v>
      </c>
      <c r="E196" s="309">
        <f>B152</f>
        <v>24000</v>
      </c>
      <c r="F196" s="309">
        <f t="shared" si="19"/>
        <v>49896</v>
      </c>
      <c r="G196" s="298" t="s">
        <v>140</v>
      </c>
      <c r="H196" s="351">
        <f>SUM(B196:F196)</f>
        <v>154977</v>
      </c>
      <c r="I196" s="427">
        <f>H196/F16*100</f>
        <v>32.613005050505052</v>
      </c>
    </row>
    <row r="197" spans="1:12" ht="29">
      <c r="A197" s="295" t="s">
        <v>15</v>
      </c>
      <c r="B197" s="353">
        <f t="shared" si="18"/>
        <v>54000</v>
      </c>
      <c r="C197" s="346">
        <f>(B197*F104)-B197</f>
        <v>0</v>
      </c>
      <c r="D197" s="309">
        <f>B197*$B$122</f>
        <v>2700</v>
      </c>
      <c r="E197" s="309">
        <f>B153</f>
        <v>60000</v>
      </c>
      <c r="F197" s="309" t="str">
        <f t="shared" si="19"/>
        <v>no information</v>
      </c>
      <c r="G197" s="298" t="s">
        <v>140</v>
      </c>
      <c r="H197" s="351">
        <f>SUM(B197:E197)</f>
        <v>116700</v>
      </c>
      <c r="I197" s="427">
        <f>H197/F17</f>
        <v>12.966666666666667</v>
      </c>
    </row>
    <row r="198" spans="1:12" ht="29">
      <c r="A198" s="295" t="s">
        <v>19</v>
      </c>
      <c r="B198" s="353">
        <f t="shared" si="18"/>
        <v>570240</v>
      </c>
      <c r="C198" s="346">
        <f>(B198*F109)-B198</f>
        <v>14256</v>
      </c>
      <c r="D198" s="309">
        <f>B198*$B$123</f>
        <v>42768</v>
      </c>
      <c r="E198" s="309">
        <f>B154</f>
        <v>79200</v>
      </c>
      <c r="F198" s="309">
        <f t="shared" si="19"/>
        <v>114048</v>
      </c>
      <c r="G198" s="298" t="s">
        <v>140</v>
      </c>
      <c r="H198" s="351">
        <f>SUM(B198:F198)</f>
        <v>820512</v>
      </c>
      <c r="I198" s="427">
        <f>H198/F19*100</f>
        <v>21.583333333333332</v>
      </c>
    </row>
    <row r="199" spans="1:12" ht="29">
      <c r="A199" s="295" t="s">
        <v>20</v>
      </c>
      <c r="B199" s="353">
        <f t="shared" si="18"/>
        <v>760320</v>
      </c>
      <c r="C199" s="346">
        <f>(B199*F114)-B199</f>
        <v>19007.999999999884</v>
      </c>
      <c r="D199" s="309">
        <f>B199*$B$124</f>
        <v>57024</v>
      </c>
      <c r="E199" s="309">
        <f>B155</f>
        <v>165000</v>
      </c>
      <c r="F199" s="309">
        <f t="shared" si="19"/>
        <v>228096</v>
      </c>
      <c r="G199" s="298" t="s">
        <v>140</v>
      </c>
      <c r="H199" s="351">
        <f>SUM(B199:F199)</f>
        <v>1229448</v>
      </c>
      <c r="I199" s="427">
        <f>H199/F20*100</f>
        <v>16.170138888888889</v>
      </c>
    </row>
    <row r="200" spans="1:12">
      <c r="C200" s="312"/>
      <c r="I200" s="312"/>
    </row>
    <row r="201" spans="1:12" ht="43.5">
      <c r="A201" s="367" t="s">
        <v>215</v>
      </c>
      <c r="B201" s="291" t="s">
        <v>216</v>
      </c>
      <c r="C201" s="291"/>
      <c r="D201" s="290"/>
      <c r="E201" s="291"/>
      <c r="F201" s="291"/>
      <c r="G201" s="291"/>
      <c r="H201" s="291"/>
    </row>
    <row r="202" spans="1:12">
      <c r="A202" s="314"/>
      <c r="B202" s="294" t="s">
        <v>77</v>
      </c>
      <c r="C202" s="314" t="s">
        <v>23</v>
      </c>
      <c r="D202" s="294" t="s">
        <v>23</v>
      </c>
      <c r="E202" s="294" t="s">
        <v>77</v>
      </c>
      <c r="F202" s="294" t="s">
        <v>140</v>
      </c>
      <c r="G202" s="294" t="s">
        <v>23</v>
      </c>
      <c r="H202" s="294" t="s">
        <v>23</v>
      </c>
      <c r="I202" s="401"/>
      <c r="L202" s="292"/>
    </row>
    <row r="203" spans="1:12">
      <c r="C203" s="322" t="s">
        <v>217</v>
      </c>
      <c r="D203" s="316"/>
      <c r="E203" s="316"/>
      <c r="F203" s="317"/>
      <c r="I203" s="401"/>
      <c r="L203" s="292"/>
    </row>
    <row r="204" spans="1:12" s="294" customFormat="1" ht="43.5">
      <c r="A204" s="302" t="s">
        <v>3</v>
      </c>
      <c r="B204" s="354" t="s">
        <v>218</v>
      </c>
      <c r="C204" s="304" t="s">
        <v>200</v>
      </c>
      <c r="D204" s="303" t="s">
        <v>201</v>
      </c>
      <c r="E204" s="303" t="s">
        <v>219</v>
      </c>
      <c r="F204" s="303" t="s">
        <v>203</v>
      </c>
      <c r="G204" s="352" t="s">
        <v>220</v>
      </c>
      <c r="H204" s="352" t="s">
        <v>221</v>
      </c>
      <c r="I204" s="401"/>
      <c r="J204" s="401"/>
      <c r="K204" s="401"/>
    </row>
    <row r="205" spans="1:12" ht="43.5">
      <c r="A205" s="295" t="s">
        <v>9</v>
      </c>
      <c r="B205" s="353">
        <f>E42</f>
        <v>28</v>
      </c>
      <c r="C205" s="349">
        <f>(B205*G89)-B205</f>
        <v>0</v>
      </c>
      <c r="D205" s="337">
        <f>B205*$B$119</f>
        <v>2.8000000000000003</v>
      </c>
      <c r="E205" s="350" t="s">
        <v>140</v>
      </c>
      <c r="F205" s="296" t="s">
        <v>140</v>
      </c>
      <c r="G205" s="351">
        <f>B205+C205+D205</f>
        <v>30.8</v>
      </c>
      <c r="H205" s="427">
        <f>G205/F14*100*1000</f>
        <v>58.666666666666664</v>
      </c>
      <c r="I205" s="401"/>
      <c r="L205" s="292"/>
    </row>
    <row r="206" spans="1:12" ht="43.5">
      <c r="A206" s="295" t="s">
        <v>12</v>
      </c>
      <c r="B206" s="353">
        <f>F43</f>
        <v>148.52970000000002</v>
      </c>
      <c r="C206" s="349">
        <f>(B206*G94)-B206</f>
        <v>0</v>
      </c>
      <c r="D206" s="337">
        <f>B206*$B$120</f>
        <v>7.4264850000000013</v>
      </c>
      <c r="E206" s="337">
        <f>G151</f>
        <v>27</v>
      </c>
      <c r="F206" s="296" t="s">
        <v>140</v>
      </c>
      <c r="G206" s="351">
        <f>SUM(B206:E206)</f>
        <v>182.95618500000003</v>
      </c>
      <c r="H206" s="427">
        <f>G206/F15*100*1000</f>
        <v>77.001761363636376</v>
      </c>
      <c r="I206" s="401"/>
      <c r="L206" s="292"/>
    </row>
    <row r="207" spans="1:12" ht="29">
      <c r="A207" s="295" t="s">
        <v>14</v>
      </c>
      <c r="B207" s="353">
        <f>F44</f>
        <v>231.66</v>
      </c>
      <c r="C207" s="349">
        <f>(B207*G99)-B207</f>
        <v>0</v>
      </c>
      <c r="D207" s="337">
        <f>B207*$B$121</f>
        <v>11.583</v>
      </c>
      <c r="E207" s="337">
        <f>G152</f>
        <v>72</v>
      </c>
      <c r="F207" s="296" t="s">
        <v>140</v>
      </c>
      <c r="G207" s="351">
        <f>SUM(B207:F207)</f>
        <v>315.24299999999999</v>
      </c>
      <c r="H207" s="427">
        <f t="shared" ref="H207" si="20">G207/F16*100*1000</f>
        <v>66.339015151515156</v>
      </c>
      <c r="I207" s="401"/>
      <c r="L207" s="292"/>
    </row>
    <row r="208" spans="1:12" ht="29">
      <c r="A208" s="295" t="s">
        <v>15</v>
      </c>
      <c r="B208" s="353">
        <f>F45</f>
        <v>136.80000000000001</v>
      </c>
      <c r="C208" s="349">
        <f>(B208*G104)-B208</f>
        <v>0</v>
      </c>
      <c r="D208" s="337">
        <f>B208*$B$122</f>
        <v>6.8400000000000007</v>
      </c>
      <c r="E208" s="337">
        <f>G153</f>
        <v>180</v>
      </c>
      <c r="F208" s="296" t="s">
        <v>140</v>
      </c>
      <c r="G208" s="351">
        <f>SUM(B208:F208)</f>
        <v>323.64</v>
      </c>
      <c r="H208" s="427">
        <f>G208/F17*1000</f>
        <v>35.96</v>
      </c>
      <c r="I208" s="401"/>
      <c r="L208" s="292"/>
    </row>
    <row r="209" spans="1:12" ht="29">
      <c r="A209" s="295" t="s">
        <v>19</v>
      </c>
      <c r="B209" s="353">
        <f>F46</f>
        <v>1539.6479999999999</v>
      </c>
      <c r="C209" s="349">
        <f>(B209*G109)-B209</f>
        <v>38.491199999999935</v>
      </c>
      <c r="D209" s="337">
        <f>B209*$B$123</f>
        <v>115.47359999999999</v>
      </c>
      <c r="E209" s="337">
        <f>G154</f>
        <v>237.6</v>
      </c>
      <c r="F209" s="296" t="s">
        <v>140</v>
      </c>
      <c r="G209" s="351">
        <f>SUM(B209:F209)</f>
        <v>1931.2127999999998</v>
      </c>
      <c r="H209" s="427">
        <f>G209/F19*100*1000</f>
        <v>50.8</v>
      </c>
      <c r="I209" s="401"/>
      <c r="L209" s="292"/>
    </row>
    <row r="210" spans="1:12" ht="29">
      <c r="A210" s="295" t="s">
        <v>20</v>
      </c>
      <c r="B210" s="353">
        <f>F47</f>
        <v>2052.864</v>
      </c>
      <c r="C210" s="349">
        <f>(B210*G114)-B210</f>
        <v>51.321599999999762</v>
      </c>
      <c r="D210" s="337">
        <f>B210*$B$124</f>
        <v>153.9648</v>
      </c>
      <c r="E210" s="337">
        <f>G155</f>
        <v>495</v>
      </c>
      <c r="F210" s="296" t="s">
        <v>140</v>
      </c>
      <c r="G210" s="351">
        <f>SUM(B210:F210)</f>
        <v>2753.1504</v>
      </c>
      <c r="H210" s="427">
        <f>G210/F20*100*1000</f>
        <v>36.210416666666667</v>
      </c>
      <c r="I210" s="401"/>
      <c r="L210" s="292"/>
    </row>
    <row r="212" spans="1:12">
      <c r="A212" s="367" t="s">
        <v>222</v>
      </c>
      <c r="B212" s="291" t="s">
        <v>223</v>
      </c>
      <c r="C212" s="291"/>
      <c r="D212" s="290"/>
      <c r="E212" s="291"/>
      <c r="F212" s="291"/>
      <c r="G212" s="291"/>
      <c r="H212" s="291"/>
    </row>
    <row r="213" spans="1:12">
      <c r="A213" s="314"/>
      <c r="B213" s="294" t="s">
        <v>77</v>
      </c>
      <c r="C213" s="294" t="s">
        <v>23</v>
      </c>
      <c r="D213" s="314" t="s">
        <v>23</v>
      </c>
      <c r="E213" s="294" t="s">
        <v>140</v>
      </c>
      <c r="F213" s="294" t="s">
        <v>140</v>
      </c>
      <c r="G213" s="294" t="s">
        <v>23</v>
      </c>
      <c r="H213" s="294" t="s">
        <v>23</v>
      </c>
    </row>
    <row r="214" spans="1:12">
      <c r="C214" s="322" t="s">
        <v>224</v>
      </c>
      <c r="D214" s="316"/>
      <c r="E214" s="316"/>
      <c r="F214" s="317"/>
      <c r="I214" s="401"/>
      <c r="L214" s="292"/>
    </row>
    <row r="215" spans="1:12" s="294" customFormat="1" ht="43.5">
      <c r="A215" s="302" t="s">
        <v>3</v>
      </c>
      <c r="B215" s="354" t="s">
        <v>225</v>
      </c>
      <c r="C215" s="304" t="s">
        <v>200</v>
      </c>
      <c r="D215" s="303" t="s">
        <v>201</v>
      </c>
      <c r="E215" s="303" t="s">
        <v>219</v>
      </c>
      <c r="F215" s="303" t="s">
        <v>203</v>
      </c>
      <c r="G215" s="352" t="s">
        <v>226</v>
      </c>
      <c r="H215" s="352" t="s">
        <v>227</v>
      </c>
      <c r="I215" s="401"/>
      <c r="J215" s="401"/>
      <c r="K215" s="401"/>
    </row>
    <row r="216" spans="1:12" ht="58">
      <c r="A216" s="295" t="s">
        <v>9</v>
      </c>
      <c r="B216" s="439" t="s">
        <v>228</v>
      </c>
      <c r="C216" s="349" t="s">
        <v>228</v>
      </c>
      <c r="D216" s="349" t="s">
        <v>228</v>
      </c>
      <c r="E216" s="349" t="s">
        <v>228</v>
      </c>
      <c r="F216" s="349" t="s">
        <v>228</v>
      </c>
      <c r="G216" s="440" t="s">
        <v>229</v>
      </c>
      <c r="H216" s="440" t="s">
        <v>228</v>
      </c>
      <c r="I216" s="401"/>
      <c r="L216" s="292"/>
    </row>
    <row r="217" spans="1:12" ht="43.5">
      <c r="A217" s="295" t="s">
        <v>12</v>
      </c>
      <c r="B217" s="353">
        <f t="shared" ref="B217:B221" si="21">E43</f>
        <v>14.852970000000001</v>
      </c>
      <c r="C217" s="349">
        <f>(B217*G94)-B217</f>
        <v>0</v>
      </c>
      <c r="D217" s="337">
        <f>B217*$B$120</f>
        <v>0.74264850000000004</v>
      </c>
      <c r="E217" s="337" t="s">
        <v>140</v>
      </c>
      <c r="F217" s="296" t="s">
        <v>140</v>
      </c>
      <c r="G217" s="351">
        <f>SUM(B217:E217)</f>
        <v>15.5956185</v>
      </c>
      <c r="H217" s="427">
        <f>G217/F15*100*1000</f>
        <v>6.5638125</v>
      </c>
      <c r="I217" s="401"/>
      <c r="L217" s="292"/>
    </row>
    <row r="218" spans="1:12" ht="29">
      <c r="A218" s="295" t="s">
        <v>14</v>
      </c>
      <c r="B218" s="353">
        <f t="shared" si="21"/>
        <v>23.166</v>
      </c>
      <c r="C218" s="349">
        <f>(B218*G99)-B218</f>
        <v>0</v>
      </c>
      <c r="D218" s="337">
        <f>B218*$B$121</f>
        <v>1.1583000000000001</v>
      </c>
      <c r="E218" s="337" t="s">
        <v>140</v>
      </c>
      <c r="F218" s="296" t="s">
        <v>140</v>
      </c>
      <c r="G218" s="351">
        <f>SUM(B218:F218)</f>
        <v>24.324300000000001</v>
      </c>
      <c r="H218" s="427">
        <f>G218/F16*100*1000</f>
        <v>5.1187500000000004</v>
      </c>
      <c r="I218" s="401"/>
      <c r="L218" s="292"/>
    </row>
    <row r="219" spans="1:12" ht="29">
      <c r="A219" s="295" t="s">
        <v>15</v>
      </c>
      <c r="B219" s="353">
        <f t="shared" si="21"/>
        <v>16.2</v>
      </c>
      <c r="C219" s="349">
        <f>(B219*G104)-B219</f>
        <v>0</v>
      </c>
      <c r="D219" s="337">
        <f>B219*$B$122</f>
        <v>0.81</v>
      </c>
      <c r="E219" s="337" t="s">
        <v>140</v>
      </c>
      <c r="F219" s="296" t="s">
        <v>140</v>
      </c>
      <c r="G219" s="351">
        <f>SUM(B219:F219)</f>
        <v>17.009999999999998</v>
      </c>
      <c r="H219" s="427">
        <f>G219/F17*1000</f>
        <v>1.8899999999999997</v>
      </c>
      <c r="I219" s="401"/>
      <c r="L219" s="292"/>
    </row>
    <row r="220" spans="1:12" ht="29">
      <c r="A220" s="295" t="s">
        <v>19</v>
      </c>
      <c r="B220" s="353">
        <f t="shared" si="21"/>
        <v>171.07199999999997</v>
      </c>
      <c r="C220" s="349">
        <f>(B220*G109)-B220</f>
        <v>4.2767999999999802</v>
      </c>
      <c r="D220" s="337">
        <f>B220*$B$123</f>
        <v>12.830399999999997</v>
      </c>
      <c r="E220" s="337" t="s">
        <v>140</v>
      </c>
      <c r="F220" s="296" t="s">
        <v>140</v>
      </c>
      <c r="G220" s="351">
        <f>SUM(B220:F220)</f>
        <v>188.17919999999995</v>
      </c>
      <c r="H220" s="427">
        <f>G220/F19*100*1000</f>
        <v>4.9499999999999984</v>
      </c>
      <c r="I220" s="401"/>
      <c r="L220" s="292"/>
    </row>
    <row r="221" spans="1:12" ht="29">
      <c r="A221" s="295" t="s">
        <v>20</v>
      </c>
      <c r="B221" s="353">
        <f t="shared" si="21"/>
        <v>228.096</v>
      </c>
      <c r="C221" s="349">
        <f>(B221*G114)-B221</f>
        <v>5.702399999999983</v>
      </c>
      <c r="D221" s="337">
        <f>B221*$B$124</f>
        <v>17.107199999999999</v>
      </c>
      <c r="E221" s="337" t="s">
        <v>140</v>
      </c>
      <c r="F221" s="296" t="s">
        <v>140</v>
      </c>
      <c r="G221" s="351">
        <f>SUM(B221:F221)</f>
        <v>250.90559999999999</v>
      </c>
      <c r="H221" s="427">
        <f>G221/F20*100*1000</f>
        <v>3.2999999999999994</v>
      </c>
      <c r="I221" s="401"/>
      <c r="L221" s="292"/>
    </row>
    <row r="223" spans="1:12" ht="43.5">
      <c r="A223" s="367" t="s">
        <v>230</v>
      </c>
      <c r="B223" s="291" t="s">
        <v>231</v>
      </c>
    </row>
    <row r="224" spans="1:12">
      <c r="A224" s="314"/>
      <c r="B224" s="294" t="s">
        <v>2</v>
      </c>
      <c r="C224" s="294" t="s">
        <v>134</v>
      </c>
      <c r="D224" s="314"/>
      <c r="E224" s="294"/>
      <c r="F224" s="294"/>
      <c r="G224" s="294"/>
      <c r="H224" s="294"/>
      <c r="I224" s="294"/>
    </row>
    <row r="225" spans="1:12" ht="43.5">
      <c r="A225" s="302" t="s">
        <v>3</v>
      </c>
      <c r="B225" s="302" t="s">
        <v>232</v>
      </c>
      <c r="C225" s="302" t="s">
        <v>233</v>
      </c>
    </row>
    <row r="226" spans="1:12" ht="43.5">
      <c r="A226" s="295" t="s">
        <v>9</v>
      </c>
      <c r="B226" s="343" t="s">
        <v>234</v>
      </c>
      <c r="C226" s="298">
        <v>12</v>
      </c>
    </row>
    <row r="227" spans="1:12" ht="43.5">
      <c r="A227" s="295" t="s">
        <v>12</v>
      </c>
      <c r="B227" s="343" t="s">
        <v>180</v>
      </c>
      <c r="C227" s="298">
        <v>8</v>
      </c>
    </row>
    <row r="228" spans="1:12" ht="29">
      <c r="A228" s="295" t="s">
        <v>14</v>
      </c>
      <c r="B228" s="343" t="s">
        <v>180</v>
      </c>
      <c r="C228" s="298">
        <v>8</v>
      </c>
    </row>
    <row r="229" spans="1:12" ht="29">
      <c r="A229" s="295" t="s">
        <v>15</v>
      </c>
      <c r="B229" s="343" t="s">
        <v>235</v>
      </c>
      <c r="C229" s="298">
        <v>9</v>
      </c>
    </row>
    <row r="230" spans="1:12" ht="29">
      <c r="A230" s="295" t="s">
        <v>19</v>
      </c>
      <c r="B230" s="343" t="s">
        <v>185</v>
      </c>
      <c r="C230" s="298">
        <v>11</v>
      </c>
    </row>
    <row r="231" spans="1:12" ht="29">
      <c r="A231" s="295" t="s">
        <v>20</v>
      </c>
      <c r="B231" s="343" t="s">
        <v>236</v>
      </c>
      <c r="C231" s="298">
        <v>15</v>
      </c>
    </row>
    <row r="233" spans="1:12" ht="43.5">
      <c r="A233" s="367" t="s">
        <v>237</v>
      </c>
      <c r="B233" s="291" t="s">
        <v>238</v>
      </c>
    </row>
    <row r="234" spans="1:12" s="291" customFormat="1">
      <c r="A234" s="314"/>
      <c r="B234" s="294" t="s">
        <v>2</v>
      </c>
      <c r="C234" s="294" t="s">
        <v>134</v>
      </c>
      <c r="D234" s="294" t="s">
        <v>2</v>
      </c>
      <c r="E234" s="294" t="s">
        <v>134</v>
      </c>
      <c r="F234" s="292"/>
      <c r="G234" s="292"/>
      <c r="H234" s="292"/>
      <c r="I234" s="292"/>
      <c r="J234" s="401"/>
      <c r="K234" s="401"/>
      <c r="L234" s="404"/>
    </row>
    <row r="235" spans="1:12" s="294" customFormat="1" ht="72.5">
      <c r="A235" s="302" t="s">
        <v>3</v>
      </c>
      <c r="B235" s="302" t="s">
        <v>239</v>
      </c>
      <c r="C235" s="302" t="s">
        <v>240</v>
      </c>
      <c r="D235" s="302" t="s">
        <v>241</v>
      </c>
      <c r="E235" s="302" t="s">
        <v>242</v>
      </c>
      <c r="F235" s="292"/>
      <c r="G235" s="292"/>
      <c r="H235" s="292"/>
      <c r="I235" s="292"/>
      <c r="J235" s="401"/>
      <c r="K235" s="401"/>
      <c r="L235" s="401"/>
    </row>
    <row r="236" spans="1:12" ht="43.5">
      <c r="A236" s="295" t="s">
        <v>9</v>
      </c>
      <c r="B236" s="343" t="s">
        <v>243</v>
      </c>
      <c r="C236" s="298">
        <v>1.5</v>
      </c>
      <c r="D236" s="343" t="s">
        <v>244</v>
      </c>
      <c r="E236" s="298">
        <v>12</v>
      </c>
    </row>
    <row r="237" spans="1:12" ht="43.5">
      <c r="A237" s="295" t="s">
        <v>12</v>
      </c>
      <c r="B237" s="343" t="s">
        <v>244</v>
      </c>
      <c r="C237" s="373">
        <v>2</v>
      </c>
      <c r="D237" s="343" t="s">
        <v>245</v>
      </c>
      <c r="E237" s="373">
        <v>16</v>
      </c>
    </row>
    <row r="238" spans="1:12" ht="29">
      <c r="A238" s="295" t="s">
        <v>14</v>
      </c>
      <c r="B238" s="343" t="s">
        <v>244</v>
      </c>
      <c r="C238" s="373">
        <v>2</v>
      </c>
      <c r="D238" s="343" t="s">
        <v>245</v>
      </c>
      <c r="E238" s="373">
        <v>16</v>
      </c>
    </row>
    <row r="239" spans="1:12" ht="29">
      <c r="A239" s="295" t="s">
        <v>15</v>
      </c>
      <c r="B239" s="343" t="s">
        <v>246</v>
      </c>
      <c r="C239" s="298">
        <v>2</v>
      </c>
      <c r="D239" s="343" t="s">
        <v>247</v>
      </c>
      <c r="E239" s="298">
        <v>4</v>
      </c>
    </row>
    <row r="240" spans="1:12" ht="29">
      <c r="A240" s="295" t="s">
        <v>19</v>
      </c>
      <c r="B240" s="343" t="s">
        <v>248</v>
      </c>
      <c r="C240" s="298">
        <v>3</v>
      </c>
      <c r="D240" s="343" t="s">
        <v>249</v>
      </c>
      <c r="E240" s="298">
        <v>4</v>
      </c>
    </row>
    <row r="241" spans="1:12" ht="29">
      <c r="A241" s="295" t="s">
        <v>20</v>
      </c>
      <c r="B241" s="343" t="s">
        <v>248</v>
      </c>
      <c r="C241" s="298">
        <v>3</v>
      </c>
      <c r="D241" s="343" t="s">
        <v>249</v>
      </c>
      <c r="E241" s="298">
        <v>4</v>
      </c>
    </row>
    <row r="243" spans="1:12" ht="43.5">
      <c r="A243" s="399" t="s">
        <v>250</v>
      </c>
      <c r="B243" s="291" t="s">
        <v>251</v>
      </c>
      <c r="C243" s="291"/>
      <c r="D243" s="290"/>
      <c r="E243" s="291"/>
      <c r="F243" s="291"/>
      <c r="G243" s="291"/>
      <c r="H243" s="291"/>
      <c r="I243" s="291"/>
      <c r="J243" s="404"/>
      <c r="K243" s="404"/>
    </row>
    <row r="244" spans="1:12" ht="29">
      <c r="A244" s="314"/>
      <c r="B244" s="314" t="s">
        <v>252</v>
      </c>
      <c r="C244" s="314" t="s">
        <v>253</v>
      </c>
      <c r="D244" s="314" t="s">
        <v>254</v>
      </c>
      <c r="E244" s="294"/>
      <c r="F244" s="294"/>
      <c r="G244" s="294"/>
      <c r="H244" s="294"/>
      <c r="I244" s="294"/>
    </row>
    <row r="245" spans="1:12" s="291" customFormat="1" ht="29">
      <c r="A245" s="302" t="s">
        <v>255</v>
      </c>
      <c r="B245" s="305" t="s">
        <v>256</v>
      </c>
      <c r="C245" s="302" t="s">
        <v>257</v>
      </c>
      <c r="D245" s="302" t="s">
        <v>258</v>
      </c>
      <c r="E245" s="292"/>
      <c r="F245" s="292"/>
      <c r="G245" s="292"/>
      <c r="H245" s="292"/>
      <c r="I245" s="292"/>
      <c r="J245" s="401"/>
      <c r="K245" s="401"/>
      <c r="L245" s="404"/>
    </row>
    <row r="246" spans="1:12" s="294" customFormat="1">
      <c r="A246" s="295" t="s">
        <v>259</v>
      </c>
      <c r="B246" s="298">
        <v>49760</v>
      </c>
      <c r="C246" s="396">
        <v>1.7</v>
      </c>
      <c r="D246" s="356">
        <f>B246*C246/1000</f>
        <v>84.591999999999999</v>
      </c>
      <c r="E246" s="313" t="s">
        <v>260</v>
      </c>
      <c r="F246" s="292"/>
      <c r="G246" s="292"/>
      <c r="H246" s="292"/>
      <c r="I246" s="292"/>
      <c r="J246" s="401"/>
      <c r="K246" s="401"/>
      <c r="L246" s="401"/>
    </row>
    <row r="247" spans="1:12">
      <c r="A247" s="295" t="s">
        <v>261</v>
      </c>
      <c r="B247" s="298">
        <v>2500</v>
      </c>
      <c r="C247" s="355">
        <v>6.8</v>
      </c>
      <c r="D247" s="356">
        <f t="shared" ref="D247:D251" si="22">B247*C247/1000</f>
        <v>17</v>
      </c>
    </row>
    <row r="248" spans="1:12" ht="29">
      <c r="A248" s="295" t="s">
        <v>262</v>
      </c>
      <c r="B248" s="298">
        <v>2500</v>
      </c>
      <c r="C248" s="355">
        <v>0.05</v>
      </c>
      <c r="D248" s="356">
        <f t="shared" si="22"/>
        <v>0.125</v>
      </c>
    </row>
    <row r="249" spans="1:12" ht="29">
      <c r="A249" s="295" t="s">
        <v>263</v>
      </c>
      <c r="B249" s="298">
        <v>2250</v>
      </c>
      <c r="C249" s="355">
        <v>1.7</v>
      </c>
      <c r="D249" s="356">
        <f t="shared" si="22"/>
        <v>3.8250000000000002</v>
      </c>
    </row>
    <row r="250" spans="1:12">
      <c r="A250" s="295" t="s">
        <v>264</v>
      </c>
      <c r="B250" s="298">
        <v>2250</v>
      </c>
      <c r="C250" s="355">
        <v>1.1000000000000001</v>
      </c>
      <c r="D250" s="356">
        <f t="shared" si="22"/>
        <v>2.4750000000000001</v>
      </c>
    </row>
    <row r="251" spans="1:12">
      <c r="A251" s="295" t="s">
        <v>265</v>
      </c>
      <c r="B251" s="298">
        <v>1100</v>
      </c>
      <c r="C251" s="355">
        <v>4.2</v>
      </c>
      <c r="D251" s="356">
        <f t="shared" si="22"/>
        <v>4.62</v>
      </c>
    </row>
    <row r="252" spans="1:12">
      <c r="A252" s="357" t="s">
        <v>266</v>
      </c>
      <c r="B252" s="332"/>
      <c r="C252" s="332"/>
      <c r="D252" s="397">
        <f>SUM(D246:D251)</f>
        <v>112.637</v>
      </c>
    </row>
    <row r="254" spans="1:12" ht="43.5">
      <c r="A254" s="367" t="s">
        <v>267</v>
      </c>
      <c r="B254" s="291" t="s">
        <v>268</v>
      </c>
      <c r="C254" s="291"/>
      <c r="D254" s="290"/>
      <c r="E254" s="291"/>
      <c r="F254" s="291"/>
      <c r="G254" s="291"/>
      <c r="H254" s="291"/>
      <c r="I254" s="291"/>
      <c r="J254" s="404"/>
      <c r="K254" s="404"/>
    </row>
    <row r="255" spans="1:12" s="291" customFormat="1">
      <c r="A255" s="314"/>
      <c r="B255" s="294" t="s">
        <v>269</v>
      </c>
      <c r="C255" s="294" t="s">
        <v>269</v>
      </c>
      <c r="D255" s="294" t="s">
        <v>269</v>
      </c>
      <c r="E255" s="294" t="s">
        <v>269</v>
      </c>
      <c r="F255" s="294"/>
      <c r="G255" s="294"/>
      <c r="H255" s="294"/>
      <c r="I255" s="294"/>
      <c r="J255" s="401"/>
      <c r="K255" s="401"/>
      <c r="L255" s="404"/>
    </row>
    <row r="256" spans="1:12" s="294" customFormat="1" ht="43.5">
      <c r="A256" s="302" t="s">
        <v>3</v>
      </c>
      <c r="B256" s="302" t="s">
        <v>270</v>
      </c>
      <c r="C256" s="302" t="s">
        <v>271</v>
      </c>
      <c r="D256" s="302" t="s">
        <v>272</v>
      </c>
      <c r="E256" s="302" t="s">
        <v>273</v>
      </c>
      <c r="F256" s="292"/>
      <c r="G256" s="292"/>
      <c r="H256" s="292"/>
      <c r="I256" s="292"/>
      <c r="J256" s="401"/>
      <c r="K256" s="401"/>
      <c r="L256" s="401"/>
    </row>
    <row r="257" spans="1:11" ht="43.5">
      <c r="A257" s="295" t="s">
        <v>9</v>
      </c>
      <c r="B257" s="300">
        <v>0.5</v>
      </c>
      <c r="C257" s="300">
        <v>0.5</v>
      </c>
      <c r="D257" s="295"/>
      <c r="E257" s="298"/>
    </row>
    <row r="258" spans="1:11" ht="43.5">
      <c r="A258" s="295" t="s">
        <v>12</v>
      </c>
      <c r="B258" s="300">
        <v>0.8</v>
      </c>
      <c r="C258" s="298"/>
      <c r="D258" s="295"/>
      <c r="E258" s="300">
        <v>0.2</v>
      </c>
    </row>
    <row r="259" spans="1:11" ht="29">
      <c r="A259" s="295" t="s">
        <v>14</v>
      </c>
      <c r="B259" s="300">
        <v>0.75</v>
      </c>
      <c r="C259" s="298"/>
      <c r="D259" s="295"/>
      <c r="E259" s="300">
        <v>0.25</v>
      </c>
    </row>
    <row r="260" spans="1:11" ht="29">
      <c r="A260" s="295" t="s">
        <v>15</v>
      </c>
      <c r="B260" s="300">
        <v>0.7</v>
      </c>
      <c r="C260" s="298"/>
      <c r="D260" s="318">
        <v>0.05</v>
      </c>
      <c r="E260" s="300">
        <v>0.25</v>
      </c>
    </row>
    <row r="261" spans="1:11" ht="29">
      <c r="A261" s="295" t="s">
        <v>19</v>
      </c>
      <c r="B261" s="300">
        <v>0.6</v>
      </c>
      <c r="C261" s="298"/>
      <c r="D261" s="318">
        <v>0.35</v>
      </c>
      <c r="E261" s="300">
        <v>0.05</v>
      </c>
    </row>
    <row r="262" spans="1:11" ht="29">
      <c r="A262" s="295" t="s">
        <v>20</v>
      </c>
      <c r="B262" s="300">
        <v>0.6</v>
      </c>
      <c r="C262" s="298"/>
      <c r="D262" s="318">
        <v>0.35</v>
      </c>
      <c r="E262" s="300">
        <v>0.05</v>
      </c>
    </row>
    <row r="264" spans="1:11" ht="43.5">
      <c r="A264" s="367" t="s">
        <v>274</v>
      </c>
      <c r="B264" s="291" t="s">
        <v>275</v>
      </c>
      <c r="C264" s="291"/>
      <c r="D264" s="290"/>
      <c r="E264" s="291"/>
      <c r="F264" s="291"/>
      <c r="G264" s="291"/>
      <c r="H264" s="291"/>
      <c r="I264" s="291"/>
      <c r="J264" s="404"/>
      <c r="K264" s="404"/>
    </row>
    <row r="265" spans="1:11">
      <c r="A265" s="314"/>
      <c r="B265" s="294" t="s">
        <v>2</v>
      </c>
      <c r="C265" s="294" t="s">
        <v>2</v>
      </c>
      <c r="D265" s="314" t="s">
        <v>2</v>
      </c>
      <c r="E265" s="294"/>
      <c r="F265" s="294"/>
      <c r="G265" s="294"/>
      <c r="H265" s="294"/>
      <c r="I265" s="294"/>
    </row>
    <row r="266" spans="1:11" ht="29">
      <c r="A266" s="302" t="s">
        <v>3</v>
      </c>
      <c r="B266" s="305" t="s">
        <v>276</v>
      </c>
      <c r="C266" s="305" t="s">
        <v>277</v>
      </c>
      <c r="D266" s="302" t="s">
        <v>278</v>
      </c>
    </row>
    <row r="267" spans="1:11" ht="43.5">
      <c r="A267" s="295" t="s">
        <v>9</v>
      </c>
      <c r="B267" s="300">
        <v>1</v>
      </c>
      <c r="C267" s="300">
        <v>0</v>
      </c>
      <c r="D267" s="300">
        <v>0</v>
      </c>
    </row>
    <row r="268" spans="1:11" ht="43.5">
      <c r="A268" s="295" t="s">
        <v>12</v>
      </c>
      <c r="B268" s="300">
        <v>1</v>
      </c>
      <c r="C268" s="300">
        <v>0</v>
      </c>
      <c r="D268" s="300">
        <v>0</v>
      </c>
    </row>
    <row r="269" spans="1:11" ht="29">
      <c r="A269" s="295" t="s">
        <v>14</v>
      </c>
      <c r="B269" s="300">
        <v>1</v>
      </c>
      <c r="C269" s="300">
        <v>0</v>
      </c>
      <c r="D269" s="300">
        <v>0</v>
      </c>
    </row>
    <row r="270" spans="1:11" ht="29">
      <c r="A270" s="295" t="s">
        <v>15</v>
      </c>
      <c r="B270" s="298" t="s">
        <v>279</v>
      </c>
      <c r="C270" s="298" t="s">
        <v>280</v>
      </c>
      <c r="D270" s="300">
        <v>0</v>
      </c>
    </row>
    <row r="271" spans="1:11" ht="29">
      <c r="A271" s="295" t="s">
        <v>19</v>
      </c>
      <c r="B271" s="298" t="s">
        <v>281</v>
      </c>
      <c r="C271" s="298" t="s">
        <v>282</v>
      </c>
      <c r="D271" s="300">
        <v>0</v>
      </c>
    </row>
    <row r="272" spans="1:11" ht="29">
      <c r="A272" s="295" t="s">
        <v>20</v>
      </c>
      <c r="B272" s="298" t="s">
        <v>283</v>
      </c>
      <c r="C272" s="298" t="s">
        <v>284</v>
      </c>
      <c r="D272" s="300">
        <v>0</v>
      </c>
    </row>
  </sheetData>
  <mergeCells count="3">
    <mergeCell ref="D62:G62"/>
    <mergeCell ref="E148:F148"/>
    <mergeCell ref="C51:E51"/>
  </mergeCells>
  <pageMargins left="0.7" right="0.7" top="0.78740157499999996" bottom="0.78740157499999996" header="0.3" footer="0.3"/>
  <pageSetup paperSize="9" orientation="portrait" r:id="rId1"/>
  <ignoredErrors>
    <ignoredError sqref="E36 D236:D241 B237:B241 B226 B230:B231" twoDigitTextYear="1"/>
    <ignoredError sqref="C45:D45"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15C90-AA38-40B0-8AC0-730BBB253A8C}">
  <sheetPr>
    <tabColor theme="5"/>
  </sheetPr>
  <dimension ref="A1:P196"/>
  <sheetViews>
    <sheetView topLeftCell="A163" zoomScale="90" zoomScaleNormal="90" workbookViewId="0">
      <selection activeCell="C175" sqref="C175"/>
    </sheetView>
  </sheetViews>
  <sheetFormatPr baseColWidth="10" defaultColWidth="8.75" defaultRowHeight="14"/>
  <cols>
    <col min="1" max="1" width="5" style="3" customWidth="1"/>
    <col min="2" max="2" width="46.25" style="3" customWidth="1"/>
    <col min="3" max="3" width="12.25" style="3" customWidth="1"/>
    <col min="4" max="4" width="15.1640625" style="3" customWidth="1"/>
    <col min="5" max="5" width="17.25" style="3" customWidth="1"/>
    <col min="6" max="6" width="22.5" style="3" customWidth="1"/>
    <col min="7" max="7" width="35.25" style="3" customWidth="1"/>
    <col min="8" max="8" width="43.4140625" style="3" customWidth="1"/>
    <col min="9" max="9" width="17.5" style="3" customWidth="1"/>
    <col min="10" max="10" width="45.75" style="3" customWidth="1"/>
    <col min="11" max="11" width="24.5" style="3" customWidth="1"/>
    <col min="12" max="12" width="24.25" style="3" customWidth="1"/>
    <col min="13" max="13" width="18.75" style="3" customWidth="1"/>
    <col min="14" max="14" width="26.83203125" style="3" customWidth="1"/>
    <col min="15" max="15" width="102.83203125" style="3" customWidth="1"/>
    <col min="16" max="16" width="97.25" style="3" customWidth="1"/>
    <col min="17" max="16384" width="8.75" style="3"/>
  </cols>
  <sheetData>
    <row r="1" spans="2:16" ht="23.5">
      <c r="B1" s="6" t="s">
        <v>443</v>
      </c>
      <c r="C1"/>
    </row>
    <row r="2" spans="2:16">
      <c r="B2" s="15" t="s">
        <v>444</v>
      </c>
      <c r="C2"/>
    </row>
    <row r="3" spans="2:16">
      <c r="B3" s="16" t="s">
        <v>445</v>
      </c>
      <c r="C3"/>
    </row>
    <row r="4" spans="2:16">
      <c r="C4"/>
    </row>
    <row r="5" spans="2:16" ht="14.5" thickBot="1">
      <c r="B5"/>
      <c r="C5"/>
    </row>
    <row r="6" spans="2:16" ht="14.5" thickBot="1">
      <c r="B6" s="693" t="s">
        <v>446</v>
      </c>
      <c r="C6" s="694"/>
      <c r="D6" s="694"/>
      <c r="E6" s="694"/>
      <c r="F6" s="694"/>
      <c r="G6" s="694"/>
      <c r="H6" s="694"/>
      <c r="I6" s="695"/>
    </row>
    <row r="7" spans="2:16" ht="14.5">
      <c r="B7" s="270" t="s">
        <v>447</v>
      </c>
      <c r="C7" s="696" t="str">
        <f>'Input BoM- Manufacturing'!$N$4</f>
        <v>Base case 3</v>
      </c>
      <c r="D7" s="696"/>
      <c r="E7" s="696"/>
      <c r="F7" s="696"/>
      <c r="G7" s="696"/>
      <c r="H7" s="696"/>
      <c r="I7" s="696"/>
    </row>
    <row r="8" spans="2:16" ht="14.5">
      <c r="B8" s="271" t="s">
        <v>448</v>
      </c>
      <c r="C8" s="697" t="str">
        <f>'Input BoM- Manufacturing'!$N$5</f>
        <v>Hood-type dishwashers</v>
      </c>
      <c r="D8" s="697"/>
      <c r="E8" s="697"/>
      <c r="F8" s="697"/>
      <c r="G8" s="697"/>
      <c r="H8" s="697"/>
      <c r="I8" s="697"/>
    </row>
    <row r="9" spans="2:16" ht="14.5">
      <c r="B9" s="173" t="s">
        <v>449</v>
      </c>
      <c r="C9" s="697" t="s">
        <v>450</v>
      </c>
      <c r="D9" s="697"/>
      <c r="E9" s="697"/>
      <c r="F9" s="697"/>
      <c r="G9" s="697"/>
      <c r="H9" s="697"/>
      <c r="I9" s="697"/>
    </row>
    <row r="10" spans="2:16" ht="15" thickBot="1">
      <c r="B10" s="272" t="s">
        <v>451</v>
      </c>
      <c r="C10" s="698" t="s">
        <v>452</v>
      </c>
      <c r="D10" s="698"/>
      <c r="E10" s="698"/>
      <c r="F10" s="698"/>
      <c r="G10" s="698"/>
      <c r="H10" s="698"/>
      <c r="I10" s="698"/>
    </row>
    <row r="12" spans="2:16" s="53" customFormat="1" ht="21">
      <c r="B12" s="54" t="s">
        <v>453</v>
      </c>
      <c r="C12" s="54"/>
      <c r="D12" s="54"/>
      <c r="G12" s="99"/>
    </row>
    <row r="13" spans="2:16" customFormat="1" ht="15.65" customHeight="1">
      <c r="C13" s="1"/>
      <c r="D13" s="1"/>
      <c r="G13" s="3"/>
    </row>
    <row r="14" spans="2:16" customFormat="1" ht="14.5">
      <c r="B14" s="13"/>
      <c r="G14" s="3"/>
    </row>
    <row r="15" spans="2:16" customFormat="1" ht="15" thickBot="1">
      <c r="B15" s="13"/>
      <c r="D15" s="79" t="s">
        <v>454</v>
      </c>
      <c r="G15" s="3"/>
      <c r="N15" s="13" t="s">
        <v>455</v>
      </c>
    </row>
    <row r="16" spans="2:16" customFormat="1" ht="28.5" thickBot="1">
      <c r="B16" s="57" t="s">
        <v>304</v>
      </c>
      <c r="C16" s="57" t="s">
        <v>305</v>
      </c>
      <c r="D16" s="57" t="s">
        <v>7</v>
      </c>
      <c r="E16" s="57" t="s">
        <v>306</v>
      </c>
      <c r="F16" s="57" t="s">
        <v>307</v>
      </c>
      <c r="G16" s="58" t="s">
        <v>456</v>
      </c>
      <c r="H16" s="58" t="s">
        <v>457</v>
      </c>
      <c r="I16" s="57" t="s">
        <v>458</v>
      </c>
      <c r="J16" s="57" t="s">
        <v>459</v>
      </c>
      <c r="K16" s="57" t="s">
        <v>460</v>
      </c>
      <c r="L16" s="57" t="s">
        <v>461</v>
      </c>
      <c r="M16" s="17" t="s">
        <v>462</v>
      </c>
      <c r="N16" s="40" t="s">
        <v>463</v>
      </c>
      <c r="O16" s="57" t="s">
        <v>464</v>
      </c>
      <c r="P16" s="57" t="s">
        <v>465</v>
      </c>
    </row>
    <row r="17" spans="2:16" customFormat="1" ht="14.5">
      <c r="B17" s="31" t="str">
        <f>'Input BoM- Manufacturing'!N7</f>
        <v>Stainless steel</v>
      </c>
      <c r="C17" s="61">
        <f>'Input BoM- Manufacturing'!O7</f>
        <v>112.045</v>
      </c>
      <c r="D17" s="208" t="str">
        <f>'Input BoM- Manufacturing'!P7</f>
        <v>kg</v>
      </c>
      <c r="E17" s="59">
        <f>'Input BoM- Manufacturing'!Q7</f>
        <v>0.75361100368246714</v>
      </c>
      <c r="F17" s="208" t="str">
        <f>'Input BoM- Manufacturing'!R7</f>
        <v>3-Ferrous</v>
      </c>
      <c r="G17" s="169" t="s">
        <v>466</v>
      </c>
      <c r="H17" s="62" t="str">
        <f>IF(G17="Yes", "Default","")</f>
        <v>Default</v>
      </c>
      <c r="I17" s="33" t="s">
        <v>467</v>
      </c>
      <c r="J17" s="31" t="str">
        <f>IF(I17="Stakeholder input","High quality",IF(I17="Previous study","Medium quality",IF(I17="Literature","Medium quality",IF(I17="Googling","Fair quality",IF(I17="Scientific literature","High quality",IF(I17="Expert judgement","Medium quality",""))))))</f>
        <v>Medium quality</v>
      </c>
      <c r="K17" s="31"/>
      <c r="L17" s="36" t="s">
        <v>496</v>
      </c>
      <c r="M17" s="35"/>
      <c r="N17" s="39"/>
      <c r="O17" s="31" t="s">
        <v>468</v>
      </c>
      <c r="P17" s="31" t="s">
        <v>469</v>
      </c>
    </row>
    <row r="18" spans="2:16" customFormat="1" ht="14.5">
      <c r="B18" s="31" t="str">
        <f>'Input BoM- Manufacturing'!N8</f>
        <v>Polypropylene (PP)</v>
      </c>
      <c r="C18" s="61">
        <f>'Input BoM- Manufacturing'!O8</f>
        <v>6.8049999999999997</v>
      </c>
      <c r="D18" s="208" t="str">
        <f>'Input BoM- Manufacturing'!P8</f>
        <v>kg</v>
      </c>
      <c r="E18" s="59">
        <f>'Input BoM- Manufacturing'!Q8</f>
        <v>4.5770207327941355E-2</v>
      </c>
      <c r="F18" s="208" t="str">
        <f>'Input BoM- Manufacturing'!R8</f>
        <v>1-BlkPlastics</v>
      </c>
      <c r="G18" s="169"/>
      <c r="H18" s="62" t="str">
        <f t="shared" ref="H18:H40" si="0">IF(G18="Yes", "Default","")</f>
        <v/>
      </c>
      <c r="I18" s="33"/>
      <c r="J18" s="31" t="str">
        <f t="shared" ref="J18:J38" si="1">IF(I18="Stakeholder input","High quality",IF(I18="Previous study","Medium quality",IF(I18="Literature","Medium quality",IF(I18="Googling","Fair quality",IF(I18="Scientific literature","High quality",IF(I18="Expert judgement","Medium quality",""))))))</f>
        <v/>
      </c>
      <c r="K18" s="31"/>
      <c r="L18" s="36"/>
      <c r="M18" s="35"/>
      <c r="N18" s="39"/>
      <c r="O18" s="31" t="s">
        <v>470</v>
      </c>
      <c r="P18" s="31" t="s">
        <v>471</v>
      </c>
    </row>
    <row r="19" spans="2:16" customFormat="1" ht="14.5">
      <c r="B19" s="31" t="str">
        <f>'Input BoM- Manufacturing'!N9</f>
        <v>Polyamide (PA)</v>
      </c>
      <c r="C19" s="61">
        <f>'Input BoM- Manufacturing'!O9</f>
        <v>1.55</v>
      </c>
      <c r="D19" s="208" t="str">
        <f>'Input BoM- Manufacturing'!P9</f>
        <v>kg</v>
      </c>
      <c r="E19" s="59">
        <f>'Input BoM- Manufacturing'!Q9</f>
        <v>1.0425249281162249E-2</v>
      </c>
      <c r="F19" s="208" t="str">
        <f>'Input BoM- Manufacturing'!R9</f>
        <v>2-TecPlastics</v>
      </c>
      <c r="G19" s="169"/>
      <c r="H19" s="62" t="str">
        <f t="shared" si="0"/>
        <v/>
      </c>
      <c r="I19" s="33"/>
      <c r="J19" s="31" t="str">
        <f t="shared" si="1"/>
        <v/>
      </c>
      <c r="K19" s="31" t="s">
        <v>472</v>
      </c>
      <c r="L19" s="36"/>
      <c r="M19" s="35"/>
      <c r="N19" s="39"/>
      <c r="O19" s="31" t="s">
        <v>473</v>
      </c>
      <c r="P19" s="31" t="s">
        <v>474</v>
      </c>
    </row>
    <row r="20" spans="2:16" customFormat="1" ht="14.5">
      <c r="B20" s="31" t="str">
        <f>'Input BoM- Manufacturing'!N10</f>
        <v>Acrylonitrile Butadiene Styrene (ABS)</v>
      </c>
      <c r="C20" s="61">
        <f>'Input BoM- Manufacturing'!O10</f>
        <v>0.63500000000000001</v>
      </c>
      <c r="D20" s="208" t="str">
        <f>'Input BoM- Manufacturing'!P10</f>
        <v>kg</v>
      </c>
      <c r="E20" s="59">
        <f>'Input BoM- Manufacturing'!Q10</f>
        <v>4.2709892216374378E-3</v>
      </c>
      <c r="F20" s="208" t="str">
        <f>'Input BoM- Manufacturing'!R10</f>
        <v>1-BlkPlastics</v>
      </c>
      <c r="G20" s="169"/>
      <c r="H20" s="62" t="str">
        <f t="shared" si="0"/>
        <v/>
      </c>
      <c r="I20" s="33"/>
      <c r="J20" s="31" t="str">
        <f t="shared" si="1"/>
        <v/>
      </c>
      <c r="K20" s="31"/>
      <c r="L20" s="36"/>
      <c r="M20" s="35"/>
      <c r="N20" s="39"/>
      <c r="O20" s="31" t="s">
        <v>476</v>
      </c>
      <c r="P20" s="31" t="s">
        <v>477</v>
      </c>
    </row>
    <row r="21" spans="2:16" customFormat="1" ht="14.5">
      <c r="B21" s="31" t="str">
        <f>'Input BoM- Manufacturing'!N11</f>
        <v>Pumps (copper)</v>
      </c>
      <c r="C21" s="61">
        <f>'Input BoM- Manufacturing'!O11</f>
        <v>3.847826086956522</v>
      </c>
      <c r="D21" s="208" t="str">
        <f>'Input BoM- Manufacturing'!P11</f>
        <v>kg</v>
      </c>
      <c r="E21" s="59">
        <f>'Input BoM- Manufacturing'!Q11</f>
        <v>2.5880352352955372E-2</v>
      </c>
      <c r="F21" s="208" t="str">
        <f>'Input BoM- Manufacturing'!R11</f>
        <v>4-Non-ferrous</v>
      </c>
      <c r="G21" s="169"/>
      <c r="H21" s="62" t="str">
        <f t="shared" si="0"/>
        <v/>
      </c>
      <c r="I21" s="33"/>
      <c r="J21" s="31" t="str">
        <f t="shared" si="1"/>
        <v/>
      </c>
      <c r="K21" s="31"/>
      <c r="L21" s="36"/>
      <c r="M21" s="35"/>
      <c r="N21" s="39"/>
      <c r="O21" s="31" t="s">
        <v>491</v>
      </c>
      <c r="P21" s="31" t="s">
        <v>492</v>
      </c>
    </row>
    <row r="22" spans="2:16" customFormat="1" ht="14.5">
      <c r="B22" s="31" t="str">
        <f>'Input BoM- Manufacturing'!N12</f>
        <v>Pumps (stack of sheets)</v>
      </c>
      <c r="C22" s="61">
        <f>'Input BoM- Manufacturing'!O12</f>
        <v>3.847826086956522</v>
      </c>
      <c r="D22" s="208" t="str">
        <f>'Input BoM- Manufacturing'!P12</f>
        <v>kg</v>
      </c>
      <c r="E22" s="59">
        <f>'Input BoM- Manufacturing'!Q12</f>
        <v>2.5880352352955372E-2</v>
      </c>
      <c r="F22" s="208" t="str">
        <f>'Input BoM- Manufacturing'!R12</f>
        <v>3-Ferrous</v>
      </c>
      <c r="G22" s="169"/>
      <c r="H22" s="62" t="str">
        <f t="shared" si="0"/>
        <v/>
      </c>
      <c r="I22" s="33"/>
      <c r="J22" s="31" t="str">
        <f t="shared" si="1"/>
        <v/>
      </c>
      <c r="K22" s="31" t="s">
        <v>602</v>
      </c>
      <c r="L22" s="36"/>
      <c r="M22" s="35"/>
      <c r="N22" s="39"/>
      <c r="O22" s="31" t="s">
        <v>468</v>
      </c>
      <c r="P22" s="31" t="s">
        <v>469</v>
      </c>
    </row>
    <row r="23" spans="2:16" customFormat="1" ht="14.5">
      <c r="B23" s="31" t="str">
        <f>'Input BoM- Manufacturing'!N13</f>
        <v>Pumps (stainless steel wave)</v>
      </c>
      <c r="C23" s="61">
        <f>'Input BoM- Manufacturing'!O13</f>
        <v>2.9565217391304346</v>
      </c>
      <c r="D23" s="208" t="str">
        <f>'Input BoM- Manufacturing'!P13</f>
        <v>kg</v>
      </c>
      <c r="E23" s="59">
        <f>'Input BoM- Manufacturing'!Q13</f>
        <v>1.9885468474587178E-2</v>
      </c>
      <c r="F23" s="208" t="str">
        <f>'Input BoM- Manufacturing'!R13</f>
        <v>3-Ferrous</v>
      </c>
      <c r="G23" s="169"/>
      <c r="H23" s="62" t="str">
        <f t="shared" si="0"/>
        <v/>
      </c>
      <c r="I23" s="33"/>
      <c r="J23" s="31" t="str">
        <f t="shared" si="1"/>
        <v/>
      </c>
      <c r="K23" s="31"/>
      <c r="L23" s="36"/>
      <c r="M23" s="35"/>
      <c r="N23" s="39"/>
      <c r="O23" s="31" t="s">
        <v>468</v>
      </c>
      <c r="P23" s="31" t="s">
        <v>469</v>
      </c>
    </row>
    <row r="24" spans="2:16" customFormat="1" ht="14.5">
      <c r="B24" s="31" t="str">
        <f>'Input BoM- Manufacturing'!N14</f>
        <v>Pumps (Al)</v>
      </c>
      <c r="C24" s="61">
        <f>'Input BoM- Manufacturing'!O14</f>
        <v>3.847826086956522</v>
      </c>
      <c r="D24" s="208" t="str">
        <f>'Input BoM- Manufacturing'!P14</f>
        <v>kg</v>
      </c>
      <c r="E24" s="59">
        <f>'Input BoM- Manufacturing'!Q14</f>
        <v>2.5880352352955372E-2</v>
      </c>
      <c r="F24" s="208" t="str">
        <f>'Input BoM- Manufacturing'!R14</f>
        <v>4-Non-ferrous</v>
      </c>
      <c r="G24" s="169"/>
      <c r="H24" s="62" t="str">
        <f t="shared" si="0"/>
        <v/>
      </c>
      <c r="I24" s="33"/>
      <c r="J24" s="31" t="str">
        <f t="shared" si="1"/>
        <v/>
      </c>
      <c r="K24" s="31"/>
      <c r="L24" s="36"/>
      <c r="M24" s="35"/>
      <c r="N24" s="39"/>
      <c r="O24" s="31" t="s">
        <v>489</v>
      </c>
      <c r="P24" s="31" t="s">
        <v>490</v>
      </c>
    </row>
    <row r="25" spans="2:16" customFormat="1" ht="14.5">
      <c r="B25" s="31" t="str">
        <f>'Input BoM- Manufacturing'!N15</f>
        <v xml:space="preserve">Aluminium </v>
      </c>
      <c r="C25" s="61">
        <f>'Input BoM- Manufacturing'!O15</f>
        <v>2</v>
      </c>
      <c r="D25" s="208" t="str">
        <f>'Input BoM- Manufacturing'!P15</f>
        <v>kg</v>
      </c>
      <c r="E25" s="59">
        <f>'Input BoM- Manufacturing'!Q15</f>
        <v>1.3451934556338386E-2</v>
      </c>
      <c r="F25" s="208" t="str">
        <f>'Input BoM- Manufacturing'!R15</f>
        <v>4-Non-ferro</v>
      </c>
      <c r="G25" s="169"/>
      <c r="H25" s="62" t="str">
        <f t="shared" si="0"/>
        <v/>
      </c>
      <c r="I25" s="33"/>
      <c r="J25" s="31" t="str">
        <f t="shared" si="1"/>
        <v/>
      </c>
      <c r="K25" s="31"/>
      <c r="L25" s="36"/>
      <c r="M25" s="35"/>
      <c r="N25" s="39"/>
      <c r="O25" s="31" t="s">
        <v>489</v>
      </c>
      <c r="P25" s="31" t="s">
        <v>490</v>
      </c>
    </row>
    <row r="26" spans="2:16" customFormat="1" ht="14.5">
      <c r="B26" s="31" t="str">
        <f>'Input BoM- Manufacturing'!N16</f>
        <v>Cable (copper)</v>
      </c>
      <c r="C26" s="61">
        <f>'Input BoM- Manufacturing'!O16</f>
        <v>1.3812500000000001</v>
      </c>
      <c r="D26" s="208" t="str">
        <f>'Input BoM- Manufacturing'!P16</f>
        <v>kg</v>
      </c>
      <c r="E26" s="59">
        <f>'Input BoM- Manufacturing'!Q16</f>
        <v>9.2902423029711974E-3</v>
      </c>
      <c r="F26" s="208" t="str">
        <f>'Input BoM- Manufacturing'!R16</f>
        <v>4-Non-ferrous</v>
      </c>
      <c r="G26" s="169"/>
      <c r="H26" s="62" t="str">
        <f t="shared" si="0"/>
        <v/>
      </c>
      <c r="I26" s="33"/>
      <c r="J26" s="31" t="str">
        <f t="shared" si="1"/>
        <v/>
      </c>
      <c r="K26" s="31"/>
      <c r="L26" s="36"/>
      <c r="M26" s="35"/>
      <c r="N26" s="39"/>
      <c r="O26" s="31" t="s">
        <v>491</v>
      </c>
      <c r="P26" s="31" t="s">
        <v>492</v>
      </c>
    </row>
    <row r="27" spans="2:16" customFormat="1" ht="14.5">
      <c r="B27" s="31" t="str">
        <f>'Input BoM- Manufacturing'!N17</f>
        <v>Cable sheath (PVC)</v>
      </c>
      <c r="C27" s="61">
        <f>'Input BoM- Manufacturing'!O17</f>
        <v>0.8125</v>
      </c>
      <c r="D27" s="208" t="str">
        <f>'Input BoM- Manufacturing'!P17</f>
        <v>kg</v>
      </c>
      <c r="E27" s="59">
        <f>'Input BoM- Manufacturing'!Q17</f>
        <v>5.4648484135124686E-3</v>
      </c>
      <c r="F27" s="208" t="str">
        <f>'Input BoM- Manufacturing'!R17</f>
        <v>1-BlkPlastics</v>
      </c>
      <c r="G27" s="169"/>
      <c r="H27" s="62" t="str">
        <f t="shared" si="0"/>
        <v/>
      </c>
      <c r="I27" s="33"/>
      <c r="J27" s="31" t="str">
        <f t="shared" si="1"/>
        <v/>
      </c>
      <c r="K27" s="31"/>
      <c r="L27" s="36"/>
      <c r="M27" s="35"/>
      <c r="N27" s="39"/>
      <c r="O27" s="31" t="s">
        <v>483</v>
      </c>
      <c r="P27" s="31" t="s">
        <v>484</v>
      </c>
    </row>
    <row r="28" spans="2:16" customFormat="1" ht="14.5">
      <c r="B28" s="31" t="str">
        <f>'Input BoM- Manufacturing'!N18</f>
        <v>Cable sheath (silicone, EDPM)</v>
      </c>
      <c r="C28" s="61">
        <f>'Input BoM- Manufacturing'!O18</f>
        <v>0.40625</v>
      </c>
      <c r="D28" s="208" t="str">
        <f>'Input BoM- Manufacturing'!P18</f>
        <v>kg</v>
      </c>
      <c r="E28" s="59">
        <f>'Input BoM- Manufacturing'!Q18</f>
        <v>2.7324242067562343E-3</v>
      </c>
      <c r="F28" s="208" t="str">
        <f>'Input BoM- Manufacturing'!R18</f>
        <v>1-BlkPlastics</v>
      </c>
      <c r="G28" s="169"/>
      <c r="H28" s="62" t="str">
        <f t="shared" si="0"/>
        <v/>
      </c>
      <c r="I28" s="33"/>
      <c r="J28" s="31" t="str">
        <f t="shared" si="1"/>
        <v/>
      </c>
      <c r="K28" s="31"/>
      <c r="L28" s="36"/>
      <c r="M28" s="35"/>
      <c r="N28" s="39"/>
      <c r="O28" s="31" t="s">
        <v>485</v>
      </c>
      <c r="P28" s="31" t="s">
        <v>486</v>
      </c>
    </row>
    <row r="29" spans="2:16" customFormat="1" ht="14.5">
      <c r="B29" s="31" t="str">
        <f>'Input BoM- Manufacturing'!N20</f>
        <v>Gaskets (EDPM)</v>
      </c>
      <c r="C29" s="61">
        <f>'Input BoM- Manufacturing'!O20</f>
        <v>3.5425</v>
      </c>
      <c r="D29" s="208" t="str">
        <f>'Input BoM- Manufacturing'!P20</f>
        <v>kg</v>
      </c>
      <c r="E29" s="59">
        <f>'Input BoM- Manufacturing'!Q20</f>
        <v>2.3826739082914366E-2</v>
      </c>
      <c r="F29" s="208" t="str">
        <f>'Input BoM- Manufacturing'!R20</f>
        <v>1-BlkPlastics</v>
      </c>
      <c r="G29" s="169"/>
      <c r="H29" s="62" t="str">
        <f>IF(G29="Yes", "Default","")</f>
        <v/>
      </c>
      <c r="I29" s="33"/>
      <c r="J29" s="31" t="str">
        <f>IF(I29="Stakeholder input","High quality",IF(I29="Previous study","Medium quality",IF(I29="Literature","Medium quality",IF(I29="Googling","Fair quality",IF(I29="Scientific literature","High quality",IF(I29="Expert judgement","Medium quality",""))))))</f>
        <v/>
      </c>
      <c r="K29" s="31"/>
      <c r="L29" s="36"/>
      <c r="M29" s="35"/>
      <c r="N29" s="39"/>
      <c r="O29" s="31" t="s">
        <v>485</v>
      </c>
      <c r="P29" s="31" t="s">
        <v>486</v>
      </c>
    </row>
    <row r="30" spans="2:16" customFormat="1" ht="14.5">
      <c r="B30" s="31" t="str">
        <f>'Input BoM- Manufacturing'!N19</f>
        <v>Electronics (control)</v>
      </c>
      <c r="C30" s="61">
        <f>'Input BoM- Manufacturing'!O19/3.08</f>
        <v>1.6233766233766234</v>
      </c>
      <c r="D30" s="208" t="s">
        <v>493</v>
      </c>
      <c r="E30" s="59">
        <f>'Input BoM- Manufacturing'!Q19</f>
        <v>3.3629836390845963E-2</v>
      </c>
      <c r="F30" s="208" t="str">
        <f>'Input BoM- Manufacturing'!R19</f>
        <v>6-Electronics</v>
      </c>
      <c r="G30" s="169"/>
      <c r="H30" s="62" t="str">
        <f t="shared" si="0"/>
        <v/>
      </c>
      <c r="I30" s="33"/>
      <c r="J30" s="31" t="str">
        <f t="shared" si="1"/>
        <v/>
      </c>
      <c r="K30" s="31"/>
      <c r="L30" s="36"/>
      <c r="M30" s="35"/>
      <c r="N30" s="39"/>
      <c r="O30" s="31" t="s">
        <v>494</v>
      </c>
      <c r="P30" s="31" t="s">
        <v>495</v>
      </c>
    </row>
    <row r="31" spans="2:16" customFormat="1" ht="14.5">
      <c r="B31" s="31">
        <f>'Input BoM- Manufacturing'!N21</f>
        <v>0</v>
      </c>
      <c r="C31" s="61">
        <f>'Input BoM- Manufacturing'!O21</f>
        <v>0</v>
      </c>
      <c r="D31" s="208">
        <f>'Input BoM- Manufacturing'!P21</f>
        <v>0</v>
      </c>
      <c r="E31" s="59">
        <f>'Input BoM- Manufacturing'!Q21</f>
        <v>0</v>
      </c>
      <c r="F31" s="208">
        <f>'Input BoM- Manufacturing'!R21</f>
        <v>0</v>
      </c>
      <c r="G31" s="169"/>
      <c r="H31" s="62" t="str">
        <f t="shared" si="0"/>
        <v/>
      </c>
      <c r="I31" s="33"/>
      <c r="J31" s="31" t="str">
        <f t="shared" si="1"/>
        <v/>
      </c>
      <c r="K31" s="31"/>
      <c r="L31" s="36"/>
      <c r="M31" s="35"/>
      <c r="N31" s="39"/>
      <c r="O31" s="31"/>
      <c r="P31" s="31"/>
    </row>
    <row r="32" spans="2:16" customFormat="1" ht="14.5">
      <c r="B32" s="31">
        <f>'Input BoM- Manufacturing'!N22</f>
        <v>0</v>
      </c>
      <c r="C32" s="61">
        <f>'Input BoM- Manufacturing'!O22</f>
        <v>0</v>
      </c>
      <c r="D32" s="208">
        <f>'Input BoM- Manufacturing'!P22</f>
        <v>0</v>
      </c>
      <c r="E32" s="59">
        <f>'Input BoM- Manufacturing'!Q22</f>
        <v>0</v>
      </c>
      <c r="F32" s="208">
        <f>'Input BoM- Manufacturing'!R22</f>
        <v>0</v>
      </c>
      <c r="G32" s="169"/>
      <c r="H32" s="62" t="str">
        <f t="shared" si="0"/>
        <v/>
      </c>
      <c r="I32" s="33"/>
      <c r="J32" s="31" t="str">
        <f t="shared" si="1"/>
        <v/>
      </c>
      <c r="K32" s="31"/>
      <c r="L32" s="36"/>
      <c r="M32" s="35"/>
      <c r="N32" s="39"/>
      <c r="O32" s="31"/>
      <c r="P32" s="31"/>
    </row>
    <row r="33" spans="2:16" customFormat="1" ht="14.5">
      <c r="B33" s="31">
        <f>'Input BoM- Manufacturing'!N23</f>
        <v>0</v>
      </c>
      <c r="C33" s="61">
        <f>'Input BoM- Manufacturing'!O23</f>
        <v>0</v>
      </c>
      <c r="D33" s="208">
        <f>'Input BoM- Manufacturing'!P23</f>
        <v>0</v>
      </c>
      <c r="E33" s="59">
        <f>'Input BoM- Manufacturing'!Q23</f>
        <v>0</v>
      </c>
      <c r="F33" s="208">
        <f>'Input BoM- Manufacturing'!R23</f>
        <v>0</v>
      </c>
      <c r="G33" s="169"/>
      <c r="H33" s="62" t="str">
        <f t="shared" si="0"/>
        <v/>
      </c>
      <c r="I33" s="33"/>
      <c r="J33" s="31" t="str">
        <f t="shared" si="1"/>
        <v/>
      </c>
      <c r="K33" s="31"/>
      <c r="L33" s="36"/>
      <c r="M33" s="35"/>
      <c r="N33" s="39"/>
      <c r="O33" s="31"/>
      <c r="P33" s="31"/>
    </row>
    <row r="34" spans="2:16" customFormat="1" ht="14.5">
      <c r="B34" s="31">
        <f>'Input BoM- Manufacturing'!N24</f>
        <v>0</v>
      </c>
      <c r="C34" s="61">
        <f>'Input BoM- Manufacturing'!O24</f>
        <v>0</v>
      </c>
      <c r="D34" s="208">
        <f>'Input BoM- Manufacturing'!P24</f>
        <v>0</v>
      </c>
      <c r="E34" s="59">
        <f>'Input BoM- Manufacturing'!Q24</f>
        <v>0</v>
      </c>
      <c r="F34" s="208">
        <f>'Input BoM- Manufacturing'!R24</f>
        <v>0</v>
      </c>
      <c r="G34" s="169"/>
      <c r="H34" s="62" t="str">
        <f t="shared" si="0"/>
        <v/>
      </c>
      <c r="I34" s="33"/>
      <c r="J34" s="31" t="str">
        <f t="shared" si="1"/>
        <v/>
      </c>
      <c r="K34" s="31"/>
      <c r="L34" s="36"/>
      <c r="M34" s="35"/>
      <c r="N34" s="39"/>
      <c r="O34" s="31"/>
      <c r="P34" s="31"/>
    </row>
    <row r="35" spans="2:16" customFormat="1" ht="14.5">
      <c r="B35" s="31">
        <f>'Input BoM- Manufacturing'!N25</f>
        <v>0</v>
      </c>
      <c r="C35" s="61">
        <f>'Input BoM- Manufacturing'!O25</f>
        <v>0</v>
      </c>
      <c r="D35" s="208">
        <f>'Input BoM- Manufacturing'!P25</f>
        <v>0</v>
      </c>
      <c r="E35" s="59">
        <f>'Input BoM- Manufacturing'!Q25</f>
        <v>0</v>
      </c>
      <c r="F35" s="208">
        <f>'Input BoM- Manufacturing'!R25</f>
        <v>0</v>
      </c>
      <c r="G35" s="169"/>
      <c r="H35" s="62" t="str">
        <f t="shared" si="0"/>
        <v/>
      </c>
      <c r="I35" s="33"/>
      <c r="J35" s="31" t="str">
        <f t="shared" si="1"/>
        <v/>
      </c>
      <c r="K35" s="31"/>
      <c r="L35" s="36"/>
      <c r="M35" s="35"/>
      <c r="N35" s="39"/>
      <c r="O35" s="31"/>
      <c r="P35" s="31"/>
    </row>
    <row r="36" spans="2:16" customFormat="1" ht="14.5">
      <c r="B36" s="31">
        <f>'Input BoM- Manufacturing'!N26</f>
        <v>0</v>
      </c>
      <c r="C36" s="61">
        <f>'Input BoM- Manufacturing'!O26</f>
        <v>0</v>
      </c>
      <c r="D36" s="208">
        <f>'Input BoM- Manufacturing'!P26</f>
        <v>0</v>
      </c>
      <c r="E36" s="59">
        <f>'Input BoM- Manufacturing'!Q26</f>
        <v>0</v>
      </c>
      <c r="F36" s="208">
        <f>'Input BoM- Manufacturing'!R26</f>
        <v>0</v>
      </c>
      <c r="G36" s="169"/>
      <c r="H36" s="62" t="str">
        <f t="shared" si="0"/>
        <v/>
      </c>
      <c r="I36" s="33"/>
      <c r="J36" s="31" t="str">
        <f t="shared" si="1"/>
        <v/>
      </c>
      <c r="K36" s="31"/>
      <c r="L36" s="36"/>
      <c r="M36" s="35"/>
      <c r="N36" s="39"/>
      <c r="O36" s="31"/>
      <c r="P36" s="31"/>
    </row>
    <row r="37" spans="2:16" customFormat="1" ht="14.5">
      <c r="B37" s="31">
        <f>'Input BoM- Manufacturing'!N27</f>
        <v>0</v>
      </c>
      <c r="C37" s="61">
        <f>'Input BoM- Manufacturing'!O27</f>
        <v>0</v>
      </c>
      <c r="D37" s="208">
        <f>'Input BoM- Manufacturing'!P27</f>
        <v>0</v>
      </c>
      <c r="E37" s="59">
        <f>'Input BoM- Manufacturing'!Q27</f>
        <v>0</v>
      </c>
      <c r="F37" s="208">
        <f>'Input BoM- Manufacturing'!R27</f>
        <v>0</v>
      </c>
      <c r="G37" s="169"/>
      <c r="H37" s="62" t="str">
        <f t="shared" si="0"/>
        <v/>
      </c>
      <c r="I37" s="33"/>
      <c r="J37" s="31" t="str">
        <f t="shared" si="1"/>
        <v/>
      </c>
      <c r="K37" s="63"/>
      <c r="L37" s="36"/>
      <c r="M37" s="35"/>
      <c r="N37" s="39"/>
      <c r="O37" s="31"/>
      <c r="P37" s="31"/>
    </row>
    <row r="38" spans="2:16" customFormat="1" ht="14.5">
      <c r="B38" s="31">
        <f>'Input BoM- Manufacturing'!N28</f>
        <v>0</v>
      </c>
      <c r="C38" s="61">
        <f>'Input BoM- Manufacturing'!O28</f>
        <v>0</v>
      </c>
      <c r="D38" s="208">
        <f>'Input BoM- Manufacturing'!P28</f>
        <v>0</v>
      </c>
      <c r="E38" s="59">
        <f>'Input BoM- Manufacturing'!Q28</f>
        <v>0</v>
      </c>
      <c r="F38" s="208">
        <f>'Input BoM- Manufacturing'!R28</f>
        <v>0</v>
      </c>
      <c r="G38" s="169"/>
      <c r="H38" s="62" t="str">
        <f t="shared" si="0"/>
        <v/>
      </c>
      <c r="I38" s="33"/>
      <c r="J38" s="31" t="str">
        <f t="shared" si="1"/>
        <v/>
      </c>
      <c r="K38" s="31"/>
      <c r="L38" s="36"/>
      <c r="M38" s="35"/>
      <c r="N38" s="39"/>
      <c r="O38" s="31"/>
      <c r="P38" s="31"/>
    </row>
    <row r="39" spans="2:16" customFormat="1" ht="14.5">
      <c r="B39" s="31">
        <f>'Input BoM- Manufacturing'!N29</f>
        <v>0</v>
      </c>
      <c r="C39" s="61">
        <f>'Input BoM- Manufacturing'!O29</f>
        <v>0</v>
      </c>
      <c r="D39" s="208">
        <f>'Input BoM- Manufacturing'!P29</f>
        <v>0</v>
      </c>
      <c r="E39" s="59">
        <f>'Input BoM- Manufacturing'!Q29</f>
        <v>0</v>
      </c>
      <c r="F39" s="208">
        <f>'Input BoM- Manufacturing'!R29</f>
        <v>0</v>
      </c>
      <c r="G39" s="170"/>
      <c r="H39" s="62"/>
      <c r="I39" s="33"/>
      <c r="J39" s="31"/>
      <c r="K39" s="31"/>
      <c r="L39" s="31"/>
      <c r="M39" s="64"/>
      <c r="N39" s="65"/>
      <c r="O39" s="31"/>
      <c r="P39" s="31"/>
    </row>
    <row r="40" spans="2:16" customFormat="1" ht="14.5">
      <c r="B40" s="31">
        <f>'Input BoM- Manufacturing'!N30</f>
        <v>0</v>
      </c>
      <c r="C40" s="61">
        <f>'Input BoM- Manufacturing'!O30</f>
        <v>0</v>
      </c>
      <c r="D40" s="208">
        <f>'Input BoM- Manufacturing'!P30</f>
        <v>0</v>
      </c>
      <c r="E40" s="59">
        <f>'Input BoM- Manufacturing'!Q30</f>
        <v>0</v>
      </c>
      <c r="F40" s="208">
        <f>'Input BoM- Manufacturing'!R30</f>
        <v>0</v>
      </c>
      <c r="G40" s="170"/>
      <c r="H40" s="62" t="str">
        <f t="shared" si="0"/>
        <v/>
      </c>
      <c r="I40" s="33"/>
      <c r="J40" s="31" t="str">
        <f t="shared" ref="J40:J41" si="2">IF(I40="Stakeholder input", "High quality",IF(I40="Previous study", "Medium quality", IF(I40="Literature","Low quality",IF(I40="Googling","Low quality",""))))</f>
        <v/>
      </c>
      <c r="K40" s="22"/>
      <c r="L40" s="22"/>
      <c r="M40" s="66"/>
      <c r="N40" s="67"/>
      <c r="O40" s="31"/>
      <c r="P40" s="31"/>
    </row>
    <row r="41" spans="2:16" customFormat="1" ht="15" thickBot="1">
      <c r="B41" s="68">
        <f>'Input BoM- Manufacturing'!N31</f>
        <v>0</v>
      </c>
      <c r="C41" s="69">
        <f>'Input BoM- Manufacturing'!O31</f>
        <v>0</v>
      </c>
      <c r="D41" s="209">
        <f>'Input BoM- Manufacturing'!P31</f>
        <v>0</v>
      </c>
      <c r="E41" s="59">
        <f>'Input BoM- Manufacturing'!Q31</f>
        <v>0</v>
      </c>
      <c r="F41" s="209">
        <f>'Input BoM- Manufacturing'!R31</f>
        <v>0</v>
      </c>
      <c r="G41" s="168"/>
      <c r="H41" s="70" t="str">
        <f>IF(G41="Yes", "Default","")</f>
        <v/>
      </c>
      <c r="I41" s="48"/>
      <c r="J41" s="68" t="str">
        <f t="shared" si="2"/>
        <v/>
      </c>
      <c r="K41" s="71"/>
      <c r="L41" s="71"/>
      <c r="M41" s="72"/>
      <c r="N41" s="73"/>
      <c r="O41" s="68"/>
      <c r="P41" s="68"/>
    </row>
    <row r="42" spans="2:16" customFormat="1" ht="14.5" thickBot="1">
      <c r="B42" s="74" t="s">
        <v>353</v>
      </c>
      <c r="C42" s="75">
        <f>SUM(C17:C29)+(C30*3.08)</f>
        <v>148.67749999999998</v>
      </c>
      <c r="D42" s="211" t="s">
        <v>309</v>
      </c>
      <c r="E42" s="76">
        <f>SUM(E17:E41)</f>
        <v>1.0000000000000002</v>
      </c>
      <c r="F42" s="76"/>
      <c r="G42" s="171"/>
      <c r="H42" s="76"/>
      <c r="I42" s="76"/>
      <c r="J42" s="76"/>
      <c r="K42" s="76"/>
      <c r="L42" s="76"/>
      <c r="M42" s="76"/>
      <c r="N42" s="76"/>
      <c r="O42" s="76"/>
      <c r="P42" s="76"/>
    </row>
    <row r="43" spans="2:16" customFormat="1">
      <c r="B43" s="5"/>
      <c r="C43" s="7"/>
      <c r="D43" s="8"/>
      <c r="E43" s="8"/>
      <c r="F43" s="8"/>
      <c r="G43" s="172"/>
      <c r="H43" s="5"/>
      <c r="I43" s="4"/>
      <c r="J43" s="4"/>
      <c r="K43" s="5"/>
      <c r="L43" s="5"/>
      <c r="M43" s="5"/>
      <c r="N43" s="5"/>
      <c r="O43" s="4"/>
      <c r="P43" s="4"/>
    </row>
    <row r="44" spans="2:16" customFormat="1" ht="15" thickBot="1">
      <c r="B44" s="13" t="s">
        <v>601</v>
      </c>
      <c r="C44" s="8"/>
      <c r="D44" s="79" t="s">
        <v>454</v>
      </c>
      <c r="E44" s="8"/>
      <c r="F44" s="8"/>
      <c r="G44" s="172"/>
      <c r="H44" s="5"/>
      <c r="I44" s="4"/>
      <c r="J44" s="4"/>
      <c r="K44" s="5"/>
      <c r="L44" s="5"/>
      <c r="M44" s="5"/>
      <c r="N44" s="5"/>
      <c r="O44" s="4"/>
      <c r="P44" s="4"/>
    </row>
    <row r="45" spans="2:16" customFormat="1" ht="28.5" thickBot="1">
      <c r="B45" s="57" t="s">
        <v>355</v>
      </c>
      <c r="C45" s="57" t="s">
        <v>305</v>
      </c>
      <c r="D45" s="57" t="s">
        <v>7</v>
      </c>
      <c r="E45" s="57" t="s">
        <v>306</v>
      </c>
      <c r="F45" s="57" t="s">
        <v>307</v>
      </c>
      <c r="G45" s="58" t="s">
        <v>456</v>
      </c>
      <c r="H45" s="58" t="s">
        <v>457</v>
      </c>
      <c r="I45" s="57" t="s">
        <v>458</v>
      </c>
      <c r="J45" s="57" t="s">
        <v>459</v>
      </c>
      <c r="K45" s="57" t="s">
        <v>460</v>
      </c>
      <c r="L45" s="57" t="s">
        <v>461</v>
      </c>
      <c r="M45" s="17" t="s">
        <v>462</v>
      </c>
      <c r="N45" s="40" t="s">
        <v>463</v>
      </c>
      <c r="O45" s="57" t="s">
        <v>464</v>
      </c>
      <c r="P45" s="57" t="s">
        <v>465</v>
      </c>
    </row>
    <row r="46" spans="2:16" customFormat="1">
      <c r="B46" s="206" t="str">
        <f>'Input BoM- Manufacturing'!N36</f>
        <v>EPS</v>
      </c>
      <c r="C46" s="202">
        <f>'Input BoM- Manufacturing'!O36</f>
        <v>0.59399999999999997</v>
      </c>
      <c r="D46" s="203" t="str">
        <f>'Input BoM- Manufacturing'!P36</f>
        <v>kg</v>
      </c>
      <c r="E46" s="210">
        <f>'Input BoM- Manufacturing'!Q36</f>
        <v>2.2676948919599909E-2</v>
      </c>
      <c r="F46" s="203" t="str">
        <f>'Input BoM- Manufacturing'!R36</f>
        <v>1-BlkPlastics</v>
      </c>
      <c r="G46" s="169" t="s">
        <v>466</v>
      </c>
      <c r="H46" s="62" t="str">
        <f t="shared" ref="H46:H55" si="3">IF(G46="Yes", "Default","")</f>
        <v>Default</v>
      </c>
      <c r="I46" s="32" t="s">
        <v>467</v>
      </c>
      <c r="J46" s="31" t="str">
        <f>IF(I46="Stakeholder input","High quality",IF(I46="Previous study","Medium quality",IF(I46="Literature","Medium quality",IF(I46="Googling","Fair quality",IF(I46="Scientific literature","High quality",IF(I46="Expert judgement","Medium quality",""))))))</f>
        <v>Medium quality</v>
      </c>
      <c r="K46" s="22"/>
      <c r="L46" s="31" t="s">
        <v>496</v>
      </c>
      <c r="M46" s="35"/>
      <c r="N46" s="39"/>
      <c r="O46" s="31" t="s">
        <v>479</v>
      </c>
      <c r="P46" s="31" t="s">
        <v>480</v>
      </c>
    </row>
    <row r="47" spans="2:16" customFormat="1">
      <c r="B47" s="206" t="str">
        <f>'Input BoM- Manufacturing'!N37</f>
        <v>PE-Foil</v>
      </c>
      <c r="C47" s="202">
        <f>'Input BoM- Manufacturing'!O37</f>
        <v>0</v>
      </c>
      <c r="D47" s="203" t="str">
        <f>'Input BoM- Manufacturing'!P37</f>
        <v>kg</v>
      </c>
      <c r="E47" s="210">
        <f>'Input BoM- Manufacturing'!Q37</f>
        <v>0</v>
      </c>
      <c r="F47" s="203" t="str">
        <f>'Input BoM- Manufacturing'!R37</f>
        <v>1-BlkPlastics</v>
      </c>
      <c r="G47" s="169"/>
      <c r="H47" s="62" t="str">
        <f t="shared" si="3"/>
        <v/>
      </c>
      <c r="I47" s="32"/>
      <c r="J47" s="31" t="str">
        <f t="shared" ref="J47:J48" si="4">IF(I47="Stakeholder input","High quality",IF(I47="Previous study","Medium quality",IF(I47="Literature","Medium quality",IF(I47="Googling","Fair quality",IF(I47="Scientific literature","High quality",IF(I47="Expert judgement","Medium quality",""))))))</f>
        <v/>
      </c>
      <c r="K47" s="22"/>
      <c r="L47" s="31"/>
      <c r="M47" s="35"/>
      <c r="N47" s="39"/>
      <c r="O47" s="31"/>
      <c r="P47" s="31"/>
    </row>
    <row r="48" spans="2:16" customFormat="1">
      <c r="B48" s="206" t="str">
        <f>'Input BoM- Manufacturing'!N38</f>
        <v>PP (pastic strips)</v>
      </c>
      <c r="C48" s="202">
        <f>'Input BoM- Manufacturing'!O38</f>
        <v>0.75</v>
      </c>
      <c r="D48" s="203" t="str">
        <f>'Input BoM- Manufacturing'!P38</f>
        <v>kg</v>
      </c>
      <c r="E48" s="210">
        <f>'Input BoM- Manufacturing'!Q38</f>
        <v>2.8632511262121099E-2</v>
      </c>
      <c r="F48" s="203" t="str">
        <f>'Input BoM- Manufacturing'!R38</f>
        <v>1-BlkPlastics</v>
      </c>
      <c r="G48" s="169"/>
      <c r="H48" s="62" t="str">
        <f t="shared" si="3"/>
        <v/>
      </c>
      <c r="I48" s="32"/>
      <c r="J48" s="31" t="str">
        <f t="shared" si="4"/>
        <v/>
      </c>
      <c r="K48" s="173"/>
      <c r="L48" s="31"/>
      <c r="M48" s="35"/>
      <c r="N48" s="39"/>
      <c r="O48" s="31" t="s">
        <v>470</v>
      </c>
      <c r="P48" s="31" t="s">
        <v>471</v>
      </c>
    </row>
    <row r="49" spans="2:16" customFormat="1">
      <c r="B49" s="206" t="str">
        <f>'Input BoM- Manufacturing'!N39</f>
        <v>PET</v>
      </c>
      <c r="C49" s="202">
        <f>'Input BoM- Manufacturing'!O39</f>
        <v>0.6</v>
      </c>
      <c r="D49" s="203" t="str">
        <f>'Input BoM- Manufacturing'!P39</f>
        <v>kg</v>
      </c>
      <c r="E49" s="210">
        <f>'Input BoM- Manufacturing'!Q39</f>
        <v>4.0777490825064565E-2</v>
      </c>
      <c r="F49" s="203" t="str">
        <f>'Input BoM- Manufacturing'!R39</f>
        <v>1-BlkPlastics</v>
      </c>
      <c r="G49" s="169"/>
      <c r="H49" s="62" t="str">
        <f t="shared" si="3"/>
        <v/>
      </c>
      <c r="I49" s="175"/>
      <c r="J49" s="31" t="str">
        <f t="shared" ref="J49:J55" si="5">IF(I49="Stakeholder input", "High quality",IF(I49="Previous study", "Medium quality", IF(I49="Literature","Low quality",IF(I49="Googling","Low quality",""))))</f>
        <v/>
      </c>
      <c r="K49" s="173"/>
      <c r="L49" s="173"/>
      <c r="M49" s="35"/>
      <c r="N49" s="39"/>
      <c r="O49" s="31" t="s">
        <v>481</v>
      </c>
      <c r="P49" s="31" t="s">
        <v>482</v>
      </c>
    </row>
    <row r="50" spans="2:16" customFormat="1">
      <c r="B50" s="206" t="str">
        <f>'Input BoM- Manufacturing'!N40</f>
        <v>Wood</v>
      </c>
      <c r="C50" s="202">
        <f>'Input BoM- Manufacturing'!O40</f>
        <v>15.125</v>
      </c>
      <c r="D50" s="203" t="str">
        <f>'Input BoM- Manufacturing'!P40</f>
        <v>kg</v>
      </c>
      <c r="E50" s="210">
        <f>'Input BoM- Manufacturing'!Q40</f>
        <v>0.57742231045277548</v>
      </c>
      <c r="F50" s="203" t="str">
        <f>'Input BoM- Manufacturing'!R40</f>
        <v>7-Misc.</v>
      </c>
      <c r="G50" s="169"/>
      <c r="H50" s="62" t="str">
        <f t="shared" si="3"/>
        <v/>
      </c>
      <c r="I50" s="175"/>
      <c r="J50" s="31" t="str">
        <f t="shared" si="5"/>
        <v/>
      </c>
      <c r="K50" s="31" t="s">
        <v>497</v>
      </c>
      <c r="L50" s="173"/>
      <c r="M50" s="35"/>
      <c r="N50" s="39"/>
      <c r="O50" s="31" t="s">
        <v>498</v>
      </c>
      <c r="P50" s="31" t="s">
        <v>480</v>
      </c>
    </row>
    <row r="51" spans="2:16" customFormat="1">
      <c r="B51" s="206" t="str">
        <f>'Input BoM- Manufacturing'!N41</f>
        <v>Cardboard</v>
      </c>
      <c r="C51" s="202">
        <f>'Input BoM- Manufacturing'!O41</f>
        <v>9.125</v>
      </c>
      <c r="D51" s="203" t="str">
        <f>'Input BoM- Manufacturing'!P41</f>
        <v>kg</v>
      </c>
      <c r="E51" s="210">
        <f>'Input BoM- Manufacturing'!Q41</f>
        <v>0.34836222035580666</v>
      </c>
      <c r="F51" s="203" t="str">
        <f>'Input BoM- Manufacturing'!R41</f>
        <v>7-Misc.</v>
      </c>
      <c r="G51" s="169"/>
      <c r="H51" s="62" t="str">
        <f t="shared" si="3"/>
        <v/>
      </c>
      <c r="I51" s="175"/>
      <c r="J51" s="31" t="str">
        <f t="shared" si="5"/>
        <v/>
      </c>
      <c r="K51" s="31"/>
      <c r="L51" s="173"/>
      <c r="M51" s="35"/>
      <c r="N51" s="39"/>
      <c r="O51" s="31" t="s">
        <v>499</v>
      </c>
      <c r="P51" s="31" t="s">
        <v>500</v>
      </c>
    </row>
    <row r="52" spans="2:16" customFormat="1">
      <c r="B52" s="206" t="str">
        <f>'Input BoM- Manufacturing'!N42</f>
        <v>Cast iron</v>
      </c>
      <c r="C52" s="202">
        <f>'Input BoM- Manufacturing'!O42</f>
        <v>0</v>
      </c>
      <c r="D52" s="203" t="str">
        <f>'Input BoM- Manufacturing'!P42</f>
        <v>kg</v>
      </c>
      <c r="E52" s="210">
        <f>'Input BoM- Manufacturing'!Q42</f>
        <v>0</v>
      </c>
      <c r="F52" s="203" t="str">
        <f>'Input BoM- Manufacturing'!R42</f>
        <v>3-Ferro</v>
      </c>
      <c r="G52" s="169"/>
      <c r="H52" s="62" t="str">
        <f t="shared" si="3"/>
        <v/>
      </c>
      <c r="I52" s="175"/>
      <c r="J52" s="31" t="str">
        <f t="shared" si="5"/>
        <v/>
      </c>
      <c r="K52" s="173"/>
      <c r="L52" s="173"/>
      <c r="M52" s="35"/>
      <c r="N52" s="39"/>
      <c r="O52" s="31"/>
      <c r="P52" s="31"/>
    </row>
    <row r="53" spans="2:16" customFormat="1">
      <c r="B53" s="206">
        <f>'Input BoM- Manufacturing'!N43</f>
        <v>0</v>
      </c>
      <c r="C53" s="202">
        <f>'Input BoM- Manufacturing'!O43</f>
        <v>0</v>
      </c>
      <c r="D53" s="203">
        <f>'Input BoM- Manufacturing'!P43</f>
        <v>0</v>
      </c>
      <c r="E53" s="210">
        <f>'Input BoM- Manufacturing'!Q43</f>
        <v>0</v>
      </c>
      <c r="F53" s="203">
        <f>'Input BoM- Manufacturing'!R43</f>
        <v>0</v>
      </c>
      <c r="G53" s="169"/>
      <c r="H53" s="62" t="str">
        <f t="shared" si="3"/>
        <v/>
      </c>
      <c r="I53" s="33"/>
      <c r="J53" s="31" t="str">
        <f t="shared" si="5"/>
        <v/>
      </c>
      <c r="K53" s="31"/>
      <c r="L53" s="31"/>
      <c r="M53" s="35"/>
      <c r="N53" s="39"/>
      <c r="O53" s="31"/>
      <c r="P53" s="31"/>
    </row>
    <row r="54" spans="2:16" customFormat="1">
      <c r="B54" s="206">
        <f>'Input BoM- Manufacturing'!N44</f>
        <v>0</v>
      </c>
      <c r="C54" s="202">
        <f>'Input BoM- Manufacturing'!O44</f>
        <v>0</v>
      </c>
      <c r="D54" s="203">
        <f>'Input BoM- Manufacturing'!P44</f>
        <v>0</v>
      </c>
      <c r="E54" s="210">
        <f>'Input BoM- Manufacturing'!Q44</f>
        <v>0</v>
      </c>
      <c r="F54" s="203">
        <f>'Input BoM- Manufacturing'!R44</f>
        <v>0</v>
      </c>
      <c r="G54" s="169"/>
      <c r="H54" s="62" t="str">
        <f t="shared" si="3"/>
        <v/>
      </c>
      <c r="I54" s="33"/>
      <c r="J54" s="31" t="str">
        <f t="shared" si="5"/>
        <v/>
      </c>
      <c r="K54" s="22"/>
      <c r="L54" s="22"/>
      <c r="M54" s="35"/>
      <c r="N54" s="39"/>
      <c r="O54" s="31"/>
      <c r="P54" s="31"/>
    </row>
    <row r="55" spans="2:16" customFormat="1" ht="14.5" thickBot="1">
      <c r="B55" s="207">
        <f>'Input BoM- Manufacturing'!N45</f>
        <v>0</v>
      </c>
      <c r="C55" s="204">
        <f>'Input BoM- Manufacturing'!O45</f>
        <v>0</v>
      </c>
      <c r="D55" s="205">
        <f>'Input BoM- Manufacturing'!P45</f>
        <v>0</v>
      </c>
      <c r="E55" s="210">
        <f>'Input BoM- Manufacturing'!Q45</f>
        <v>0</v>
      </c>
      <c r="F55" s="205">
        <f>'Input BoM- Manufacturing'!R45</f>
        <v>0</v>
      </c>
      <c r="G55" s="176"/>
      <c r="H55" s="70" t="str">
        <f t="shared" si="3"/>
        <v/>
      </c>
      <c r="I55" s="48"/>
      <c r="J55" s="68" t="str">
        <f t="shared" si="5"/>
        <v/>
      </c>
      <c r="K55" s="68"/>
      <c r="L55" s="68"/>
      <c r="M55" s="49"/>
      <c r="N55" s="50"/>
      <c r="O55" s="68"/>
      <c r="P55" s="68"/>
    </row>
    <row r="56" spans="2:16" customFormat="1" ht="14.5" thickBot="1">
      <c r="B56" s="74" t="s">
        <v>363</v>
      </c>
      <c r="C56" s="174">
        <f>SUM(C46:C51)</f>
        <v>26.193999999999999</v>
      </c>
      <c r="D56" s="212" t="s">
        <v>309</v>
      </c>
      <c r="E56" s="76">
        <f>SUM(E46:E55)</f>
        <v>1.0178714818153676</v>
      </c>
      <c r="F56" s="174"/>
      <c r="G56" s="132"/>
      <c r="H56" s="19"/>
      <c r="I56" s="96"/>
      <c r="J56" s="96"/>
      <c r="K56" s="19"/>
      <c r="L56" s="19"/>
      <c r="M56" s="19"/>
      <c r="N56" s="19"/>
      <c r="O56" s="96"/>
      <c r="P56" s="96"/>
    </row>
    <row r="57" spans="2:16" customFormat="1" ht="14.5" thickBot="1">
      <c r="G57" s="3"/>
    </row>
    <row r="58" spans="2:16" customFormat="1" ht="14.5" thickBot="1">
      <c r="B58" s="55" t="s">
        <v>364</v>
      </c>
      <c r="C58" s="56">
        <f>C42+C56</f>
        <v>174.87149999999997</v>
      </c>
      <c r="D58" s="77" t="s">
        <v>309</v>
      </c>
      <c r="G58" s="3"/>
    </row>
    <row r="59" spans="2:16" customFormat="1">
      <c r="G59" s="3"/>
    </row>
    <row r="61" spans="2:16" s="99" customFormat="1" ht="21">
      <c r="B61" s="54" t="s">
        <v>501</v>
      </c>
      <c r="C61" s="54"/>
      <c r="D61" s="54"/>
    </row>
    <row r="62" spans="2:16" ht="14.5" thickBot="1">
      <c r="B62" s="100"/>
    </row>
    <row r="63" spans="2:16" s="4" customFormat="1" ht="14.5" thickBot="1">
      <c r="B63" s="101" t="str">
        <f>'Input BoM- Manufacturing'!N55</f>
        <v>Energy used in manufacturing</v>
      </c>
      <c r="C63" s="18" t="str">
        <f>'Input BoM- Manufacturing'!O55</f>
        <v>Value</v>
      </c>
      <c r="D63" s="18" t="str">
        <f>'Input BoM- Manufacturing'!P55</f>
        <v>Unit</v>
      </c>
      <c r="E63" s="18" t="s">
        <v>458</v>
      </c>
      <c r="F63" s="18" t="s">
        <v>459</v>
      </c>
      <c r="G63" s="18" t="s">
        <v>502</v>
      </c>
      <c r="H63" s="18" t="s">
        <v>503</v>
      </c>
      <c r="I63" s="18" t="s">
        <v>461</v>
      </c>
      <c r="J63" s="17" t="s">
        <v>462</v>
      </c>
      <c r="K63" s="102" t="s">
        <v>463</v>
      </c>
    </row>
    <row r="64" spans="2:16">
      <c r="B64" s="78" t="str">
        <f>'Input BoM- Manufacturing'!N56</f>
        <v>Electricity</v>
      </c>
      <c r="C64" s="78">
        <f>'Input BoM- Manufacturing'!O56</f>
        <v>36</v>
      </c>
      <c r="D64" s="78" t="str">
        <f>'Input BoM- Manufacturing'!P56</f>
        <v>kWh</v>
      </c>
      <c r="E64" s="78"/>
      <c r="F64" s="78" t="str">
        <f>IF(E64="Stakeholder input","High quality",IF(E64="Previous study","Medium quality",IF(E64="Literature","Medium quality",IF(E64="Googling","Fair quality",IF(E64="Scientific literature","High quality",IF(E64="Expert judgement","Medium quality",""))))))</f>
        <v/>
      </c>
      <c r="G64" s="78"/>
      <c r="H64" s="78"/>
      <c r="I64" s="82"/>
      <c r="J64" s="103"/>
      <c r="K64" s="104"/>
    </row>
    <row r="65" spans="2:11" ht="14.5" thickBot="1">
      <c r="B65" s="21" t="str">
        <f>'Input BoM- Manufacturing'!N57</f>
        <v>Heat</v>
      </c>
      <c r="C65" s="159">
        <f>'Input BoM- Manufacturing'!O57</f>
        <v>0</v>
      </c>
      <c r="D65" s="21">
        <f>'Input BoM- Manufacturing'!P57</f>
        <v>0</v>
      </c>
      <c r="E65" s="21"/>
      <c r="F65" s="21"/>
      <c r="G65" s="21"/>
      <c r="H65" s="21"/>
      <c r="I65" s="38"/>
      <c r="J65" s="105"/>
      <c r="K65" s="106"/>
    </row>
    <row r="66" spans="2:11" ht="14.5" thickBot="1">
      <c r="B66" s="3">
        <f>'Input BoM- Manufacturing'!N58</f>
        <v>0</v>
      </c>
      <c r="C66" s="3">
        <f>'Input BoM- Manufacturing'!O58</f>
        <v>0</v>
      </c>
      <c r="D66" s="3">
        <f>'Input BoM- Manufacturing'!P58</f>
        <v>0</v>
      </c>
    </row>
    <row r="67" spans="2:11" s="4" customFormat="1" ht="14.5" thickBot="1">
      <c r="B67" s="101" t="str">
        <f>'Input BoM- Manufacturing'!N59</f>
        <v>Additional materials used in manufacturing</v>
      </c>
      <c r="C67" s="18" t="str">
        <f>'Input BoM- Manufacturing'!O59</f>
        <v>Value</v>
      </c>
      <c r="D67" s="18" t="str">
        <f>'Input BoM- Manufacturing'!P59</f>
        <v>Unit</v>
      </c>
      <c r="E67" s="18" t="s">
        <v>458</v>
      </c>
      <c r="F67" s="18" t="s">
        <v>459</v>
      </c>
      <c r="G67" s="18" t="s">
        <v>460</v>
      </c>
      <c r="H67" s="18" t="s">
        <v>503</v>
      </c>
      <c r="I67" s="18" t="s">
        <v>461</v>
      </c>
      <c r="J67" s="17" t="s">
        <v>462</v>
      </c>
      <c r="K67" s="102" t="s">
        <v>463</v>
      </c>
    </row>
    <row r="68" spans="2:11" ht="14.5">
      <c r="B68" s="107" t="str">
        <f>'Input BoM- Manufacturing'!N60</f>
        <v>n.a.</v>
      </c>
      <c r="C68" s="78">
        <f>'Input BoM- Manufacturing'!O60</f>
        <v>0</v>
      </c>
      <c r="D68" s="78">
        <f>'Input BoM- Manufacturing'!P60</f>
        <v>0</v>
      </c>
      <c r="E68" s="78"/>
      <c r="F68" s="78" t="str">
        <f>IF(E68="Stakeholder input", "High quality",IF(E68="Previous study", "Medium quality", IF(E68="Literature","Low quality",IF(E68="Googling","Low quality",""))))</f>
        <v/>
      </c>
      <c r="G68" s="78"/>
      <c r="H68" s="78"/>
      <c r="J68" s="103"/>
      <c r="K68" s="104"/>
    </row>
    <row r="69" spans="2:11">
      <c r="B69" s="22">
        <f>'Input BoM- Manufacturing'!N61</f>
        <v>0</v>
      </c>
      <c r="C69" s="22">
        <f>'Input BoM- Manufacturing'!O61</f>
        <v>0</v>
      </c>
      <c r="D69" s="22">
        <f>'Input BoM- Manufacturing'!P61</f>
        <v>0</v>
      </c>
      <c r="E69" s="22"/>
      <c r="F69" s="22"/>
      <c r="G69" s="22"/>
      <c r="H69" s="22"/>
      <c r="I69" s="22"/>
      <c r="J69" s="108"/>
      <c r="K69" s="109"/>
    </row>
    <row r="70" spans="2:11">
      <c r="B70" s="22">
        <f>'Input BoM- Manufacturing'!N62</f>
        <v>0</v>
      </c>
      <c r="C70" s="22">
        <f>'Input BoM- Manufacturing'!O62</f>
        <v>0</v>
      </c>
      <c r="D70" s="22">
        <f>'Input BoM- Manufacturing'!P62</f>
        <v>0</v>
      </c>
      <c r="E70" s="22"/>
      <c r="F70" s="22" t="str">
        <f>IF(E70="Stakeholder input", "High quality",IF(E70="Previous study", "Medium quality", IF(E70="Literature","Low quality",IF(E70="Googling","Low quality",""))))</f>
        <v/>
      </c>
      <c r="G70" s="22"/>
      <c r="H70" s="22"/>
      <c r="I70" s="22"/>
      <c r="J70" s="108"/>
      <c r="K70" s="109"/>
    </row>
    <row r="71" spans="2:11" ht="14.5" thickBot="1">
      <c r="B71" s="21">
        <f>'Input BoM- Manufacturing'!N63</f>
        <v>0</v>
      </c>
      <c r="C71" s="21">
        <f>'Input BoM- Manufacturing'!O63</f>
        <v>0</v>
      </c>
      <c r="D71" s="21">
        <f>'Input BoM- Manufacturing'!P63</f>
        <v>0</v>
      </c>
      <c r="E71" s="21"/>
      <c r="F71" s="21"/>
      <c r="G71" s="21"/>
      <c r="H71" s="21"/>
      <c r="I71" s="38"/>
      <c r="J71" s="105"/>
      <c r="K71" s="106"/>
    </row>
    <row r="72" spans="2:11" ht="14.5" thickBot="1"/>
    <row r="73" spans="2:11">
      <c r="B73" s="485" t="s">
        <v>505</v>
      </c>
      <c r="C73" s="486" t="s">
        <v>305</v>
      </c>
      <c r="D73" s="487" t="s">
        <v>7</v>
      </c>
      <c r="E73" s="487" t="s">
        <v>506</v>
      </c>
      <c r="F73" s="488" t="s">
        <v>507</v>
      </c>
      <c r="G73" s="487" t="s">
        <v>508</v>
      </c>
      <c r="H73" s="489" t="s">
        <v>509</v>
      </c>
    </row>
    <row r="74" spans="2:11">
      <c r="B74" s="490" t="str">
        <f>B17</f>
        <v>Stainless steel</v>
      </c>
      <c r="C74" s="483">
        <f t="shared" ref="C74:D74" si="6">C17</f>
        <v>112.045</v>
      </c>
      <c r="D74" s="483" t="str">
        <f t="shared" si="6"/>
        <v>kg</v>
      </c>
      <c r="E74" s="687">
        <f>SUM(C74:C76)</f>
        <v>118.84934782608696</v>
      </c>
      <c r="F74" s="688" t="s">
        <v>510</v>
      </c>
      <c r="G74" s="689" t="s">
        <v>511</v>
      </c>
      <c r="H74" s="690" t="s">
        <v>512</v>
      </c>
    </row>
    <row r="75" spans="2:11">
      <c r="B75" s="490" t="str">
        <f t="shared" ref="B75:D76" si="7">B22</f>
        <v>Pumps (stack of sheets)</v>
      </c>
      <c r="C75" s="483">
        <f t="shared" si="7"/>
        <v>3.847826086956522</v>
      </c>
      <c r="D75" s="483" t="str">
        <f t="shared" si="7"/>
        <v>kg</v>
      </c>
      <c r="E75" s="688"/>
      <c r="F75" s="688"/>
      <c r="G75" s="689"/>
      <c r="H75" s="690"/>
    </row>
    <row r="76" spans="2:11">
      <c r="B76" s="490" t="str">
        <f t="shared" si="7"/>
        <v>Pumps (stainless steel wave)</v>
      </c>
      <c r="C76" s="483">
        <f t="shared" si="7"/>
        <v>2.9565217391304346</v>
      </c>
      <c r="D76" s="483" t="str">
        <f t="shared" si="7"/>
        <v>kg</v>
      </c>
      <c r="E76" s="688"/>
      <c r="F76" s="688"/>
      <c r="G76" s="689"/>
      <c r="H76" s="690"/>
    </row>
    <row r="77" spans="2:11">
      <c r="B77" s="490" t="str">
        <f t="shared" ref="B77:D79" si="8">B18</f>
        <v>Polypropylene (PP)</v>
      </c>
      <c r="C77" s="483">
        <f t="shared" si="8"/>
        <v>6.8049999999999997</v>
      </c>
      <c r="D77" s="483" t="str">
        <f t="shared" si="8"/>
        <v>kg</v>
      </c>
      <c r="E77" s="687">
        <f>SUM(C77:C82)</f>
        <v>13.751250000000001</v>
      </c>
      <c r="F77" s="688" t="s">
        <v>513</v>
      </c>
      <c r="G77" s="484" t="s">
        <v>511</v>
      </c>
      <c r="H77" s="690" t="s">
        <v>514</v>
      </c>
    </row>
    <row r="78" spans="2:11">
      <c r="B78" s="490" t="str">
        <f t="shared" si="8"/>
        <v>Polyamide (PA)</v>
      </c>
      <c r="C78" s="483">
        <f t="shared" si="8"/>
        <v>1.55</v>
      </c>
      <c r="D78" s="483" t="str">
        <f t="shared" si="8"/>
        <v>kg</v>
      </c>
      <c r="E78" s="688"/>
      <c r="F78" s="688"/>
      <c r="G78" s="689" t="s">
        <v>515</v>
      </c>
      <c r="H78" s="690"/>
    </row>
    <row r="79" spans="2:11">
      <c r="B79" s="490" t="str">
        <f t="shared" si="8"/>
        <v>Acrylonitrile Butadiene Styrene (ABS)</v>
      </c>
      <c r="C79" s="483">
        <f t="shared" si="8"/>
        <v>0.63500000000000001</v>
      </c>
      <c r="D79" s="483" t="str">
        <f t="shared" si="8"/>
        <v>kg</v>
      </c>
      <c r="E79" s="688"/>
      <c r="F79" s="688"/>
      <c r="G79" s="689"/>
      <c r="H79" s="690"/>
    </row>
    <row r="80" spans="2:11">
      <c r="B80" s="490" t="str">
        <f t="shared" ref="B80:D82" si="9">B27</f>
        <v>Cable sheath (PVC)</v>
      </c>
      <c r="C80" s="483">
        <f t="shared" si="9"/>
        <v>0.8125</v>
      </c>
      <c r="D80" s="483" t="str">
        <f t="shared" si="9"/>
        <v>kg</v>
      </c>
      <c r="E80" s="688"/>
      <c r="F80" s="688"/>
      <c r="G80" s="689"/>
      <c r="H80" s="690"/>
    </row>
    <row r="81" spans="2:11">
      <c r="B81" s="490" t="str">
        <f t="shared" si="9"/>
        <v>Cable sheath (silicone, EDPM)</v>
      </c>
      <c r="C81" s="483">
        <f t="shared" si="9"/>
        <v>0.40625</v>
      </c>
      <c r="D81" s="483" t="str">
        <f t="shared" si="9"/>
        <v>kg</v>
      </c>
      <c r="E81" s="688"/>
      <c r="F81" s="688"/>
      <c r="G81" s="689"/>
      <c r="H81" s="690"/>
    </row>
    <row r="82" spans="2:11">
      <c r="B82" s="490" t="str">
        <f t="shared" si="9"/>
        <v>Gaskets (EDPM)</v>
      </c>
      <c r="C82" s="483">
        <f t="shared" si="9"/>
        <v>3.5425</v>
      </c>
      <c r="D82" s="483" t="str">
        <f t="shared" si="9"/>
        <v>kg</v>
      </c>
      <c r="E82" s="688"/>
      <c r="F82" s="688"/>
      <c r="G82" s="689"/>
      <c r="H82" s="690"/>
    </row>
    <row r="83" spans="2:11">
      <c r="B83" s="490" t="str">
        <f t="shared" ref="B83:D83" si="10">B21</f>
        <v>Pumps (copper)</v>
      </c>
      <c r="C83" s="483">
        <f t="shared" si="10"/>
        <v>3.847826086956522</v>
      </c>
      <c r="D83" s="483" t="str">
        <f t="shared" si="10"/>
        <v>kg</v>
      </c>
      <c r="E83" s="687">
        <f>SUM(C83:C84)</f>
        <v>5.229076086956522</v>
      </c>
      <c r="F83" s="688" t="s">
        <v>520</v>
      </c>
      <c r="G83" s="689" t="s">
        <v>511</v>
      </c>
      <c r="H83" s="690" t="s">
        <v>521</v>
      </c>
    </row>
    <row r="84" spans="2:11">
      <c r="B84" s="490" t="str">
        <f>B26</f>
        <v>Cable (copper)</v>
      </c>
      <c r="C84" s="483">
        <f>C26</f>
        <v>1.3812500000000001</v>
      </c>
      <c r="D84" s="483" t="str">
        <f>D26</f>
        <v>kg</v>
      </c>
      <c r="E84" s="688"/>
      <c r="F84" s="688"/>
      <c r="G84" s="689"/>
      <c r="H84" s="690"/>
    </row>
    <row r="85" spans="2:11">
      <c r="B85" s="490" t="str">
        <f t="shared" ref="B85:D86" si="11">B24</f>
        <v>Pumps (Al)</v>
      </c>
      <c r="C85" s="483">
        <f t="shared" si="11"/>
        <v>3.847826086956522</v>
      </c>
      <c r="D85" s="483" t="str">
        <f t="shared" si="11"/>
        <v>kg</v>
      </c>
      <c r="E85" s="705">
        <f>SUM(C85:C86)</f>
        <v>5.8478260869565215</v>
      </c>
      <c r="F85" s="688" t="s">
        <v>518</v>
      </c>
      <c r="G85" s="689" t="s">
        <v>511</v>
      </c>
      <c r="H85" s="690" t="s">
        <v>519</v>
      </c>
    </row>
    <row r="86" spans="2:11">
      <c r="B86" s="490" t="str">
        <f>B25</f>
        <v xml:space="preserve">Aluminium </v>
      </c>
      <c r="C86" s="483">
        <f t="shared" si="11"/>
        <v>2</v>
      </c>
      <c r="D86" s="483" t="str">
        <f t="shared" si="11"/>
        <v>kg</v>
      </c>
      <c r="E86" s="706"/>
      <c r="F86" s="688"/>
      <c r="G86" s="689"/>
      <c r="H86" s="690"/>
    </row>
    <row r="87" spans="2:11" ht="42.5" thickBot="1">
      <c r="B87" s="492" t="str">
        <f>B30</f>
        <v>Electronics (control)</v>
      </c>
      <c r="C87" s="493">
        <f>C30</f>
        <v>1.6233766233766234</v>
      </c>
      <c r="D87" s="493" t="str">
        <f>D30</f>
        <v>m2</v>
      </c>
      <c r="E87" s="493">
        <f>C87</f>
        <v>1.6233766233766234</v>
      </c>
      <c r="F87" s="494" t="s">
        <v>522</v>
      </c>
      <c r="G87" s="496" t="s">
        <v>603</v>
      </c>
      <c r="H87" s="497" t="s">
        <v>523</v>
      </c>
    </row>
    <row r="90" spans="2:11" s="110" customFormat="1" ht="21">
      <c r="B90" s="52" t="s">
        <v>524</v>
      </c>
      <c r="D90" s="52"/>
      <c r="E90" s="52"/>
    </row>
    <row r="91" spans="2:11" s="4" customFormat="1" ht="21">
      <c r="B91" s="10"/>
      <c r="D91" s="10"/>
      <c r="E91" s="10"/>
    </row>
    <row r="92" spans="2:11" s="4" customFormat="1" ht="15" thickBot="1">
      <c r="B92" s="95" t="s">
        <v>373</v>
      </c>
      <c r="E92" s="13" t="s">
        <v>525</v>
      </c>
    </row>
    <row r="93" spans="2:11" s="4" customFormat="1" ht="16" customHeight="1" thickBot="1">
      <c r="B93" s="101" t="str">
        <f>'Input BoM- Manufacturing'!N70</f>
        <v>Transport - lorry</v>
      </c>
      <c r="C93" s="18" t="str">
        <f>'Input BoM- Manufacturing'!O70</f>
        <v>Value</v>
      </c>
      <c r="D93" s="18" t="str">
        <f>'Input BoM- Manufacturing'!P70</f>
        <v>Unit</v>
      </c>
      <c r="E93" s="18" t="s">
        <v>458</v>
      </c>
      <c r="F93" s="18" t="s">
        <v>459</v>
      </c>
      <c r="G93" s="18" t="s">
        <v>526</v>
      </c>
      <c r="H93" s="18" t="s">
        <v>503</v>
      </c>
      <c r="I93" s="18" t="s">
        <v>461</v>
      </c>
      <c r="J93" s="17" t="s">
        <v>462</v>
      </c>
      <c r="K93" s="102" t="s">
        <v>463</v>
      </c>
    </row>
    <row r="94" spans="2:11" s="4" customFormat="1" ht="14.5">
      <c r="B94" s="94" t="str">
        <f>'Input BoM- Manufacturing'!N71</f>
        <v>Weight of product (incl. packaging)</v>
      </c>
      <c r="C94" s="265">
        <f>'Input BoM- Manufacturing'!O71</f>
        <v>0.17487149999999996</v>
      </c>
      <c r="D94" s="112" t="str">
        <f>'Input BoM- Manufacturing'!P71</f>
        <v>ton</v>
      </c>
      <c r="E94" s="47"/>
      <c r="F94" s="47" t="str">
        <f>IF(E94="Stakeholder input","High quality",IF(E94="Previous study","Medium quality",IF(E94="Literature","Medium quality",IF(E94="Googling","Fair quality",IF(E94="Scientific literature","High quality",IF(E94="Expert judgement","Medium quality",""))))))</f>
        <v/>
      </c>
      <c r="G94" s="60" t="s">
        <v>527</v>
      </c>
      <c r="H94" s="82"/>
      <c r="I94" s="82"/>
      <c r="J94" s="103"/>
      <c r="K94" s="104"/>
    </row>
    <row r="95" spans="2:11" s="4" customFormat="1" ht="42.5" thickBot="1">
      <c r="B95" s="93" t="str">
        <f>'Input BoM- Manufacturing'!N72</f>
        <v>Distance</v>
      </c>
      <c r="C95" s="113">
        <f>'Input BoM- Manufacturing'!O72</f>
        <v>1330</v>
      </c>
      <c r="D95" s="113" t="str">
        <f>'Input BoM- Manufacturing'!P72</f>
        <v>km</v>
      </c>
      <c r="E95" s="37"/>
      <c r="F95" s="37" t="str">
        <f t="shared" ref="F95" si="12">IF(E95="Stakeholder input","High quality",IF(E95="Previous study","Medium quality",IF(E95="Literature","Medium quality",IF(E95="Googling","Fair quality",IF(E95="Scientific literature","High quality",IF(E95="Expert judgement","Medium quality",""))))))</f>
        <v/>
      </c>
      <c r="G95" s="21" t="s">
        <v>529</v>
      </c>
      <c r="H95" s="21"/>
      <c r="I95" s="38"/>
      <c r="J95" s="105"/>
      <c r="K95" s="106"/>
    </row>
    <row r="96" spans="2:11" s="4" customFormat="1">
      <c r="B96" s="11"/>
      <c r="C96" s="114"/>
      <c r="D96" s="114"/>
      <c r="J96" s="115"/>
    </row>
    <row r="97" spans="2:12" s="4" customFormat="1" ht="14.5" thickBot="1">
      <c r="C97" s="114"/>
      <c r="D97" s="114"/>
    </row>
    <row r="98" spans="2:12" s="4" customFormat="1" ht="16" customHeight="1" thickBot="1">
      <c r="B98" s="101" t="str">
        <f>'Input BoM- Manufacturing'!N75</f>
        <v>Transport - train</v>
      </c>
      <c r="C98" s="18" t="str">
        <f>'Input BoM- Manufacturing'!O75</f>
        <v>Value</v>
      </c>
      <c r="D98" s="18" t="str">
        <f>'Input BoM- Manufacturing'!P75</f>
        <v>Unit</v>
      </c>
      <c r="E98" s="18" t="s">
        <v>458</v>
      </c>
      <c r="F98" s="18" t="s">
        <v>459</v>
      </c>
      <c r="G98" s="18" t="s">
        <v>526</v>
      </c>
      <c r="H98" s="18" t="s">
        <v>503</v>
      </c>
      <c r="I98" s="18" t="s">
        <v>461</v>
      </c>
      <c r="J98" s="17" t="s">
        <v>462</v>
      </c>
      <c r="K98" s="102" t="s">
        <v>463</v>
      </c>
    </row>
    <row r="99" spans="2:12" s="4" customFormat="1" ht="14.5">
      <c r="B99" s="94" t="str">
        <f>'Input BoM- Manufacturing'!N76</f>
        <v>Weight of product (incl. packaging)</v>
      </c>
      <c r="C99" s="266">
        <f>'Input BoM- Manufacturing'!O76</f>
        <v>0.17487149999999996</v>
      </c>
      <c r="D99" s="112" t="str">
        <f>'Input BoM- Manufacturing'!P76</f>
        <v>ton</v>
      </c>
      <c r="E99" s="47"/>
      <c r="F99" s="47" t="str">
        <f>IF(E99="Stakeholder input","High quality",IF(E99="Previous study","Medium quality",IF(E99="Literature","Medium quality",IF(E99="Googling","Fair quality",IF(E99="Scientific literature","High quality",IF(E99="Expert judgement","Medium quality",""))))))</f>
        <v/>
      </c>
      <c r="G99" s="60" t="s">
        <v>527</v>
      </c>
      <c r="H99" s="82"/>
      <c r="I99" s="82"/>
      <c r="J99" s="103"/>
      <c r="K99" s="104"/>
    </row>
    <row r="100" spans="2:12" s="4" customFormat="1" ht="42.5" thickBot="1">
      <c r="B100" s="93" t="str">
        <f>'Input BoM- Manufacturing'!N77</f>
        <v>Distance</v>
      </c>
      <c r="C100" s="113">
        <f>'Input BoM- Manufacturing'!O77</f>
        <v>240</v>
      </c>
      <c r="D100" s="113" t="str">
        <f>'Input BoM- Manufacturing'!P77</f>
        <v>km</v>
      </c>
      <c r="E100" s="37"/>
      <c r="F100" s="37" t="str">
        <f t="shared" ref="F100" si="13">IF(E100="Stakeholder input","High quality",IF(E100="Previous study","Medium quality",IF(E100="Literature","Medium quality",IF(E100="Googling","Fair quality",IF(E100="Scientific literature","High quality",IF(E100="Expert judgement","Medium quality",""))))))</f>
        <v/>
      </c>
      <c r="G100" s="21" t="s">
        <v>531</v>
      </c>
      <c r="H100" s="21"/>
      <c r="I100" s="38"/>
      <c r="J100" s="105"/>
      <c r="K100" s="106"/>
      <c r="L100" s="12"/>
    </row>
    <row r="101" spans="2:12" s="4" customFormat="1">
      <c r="C101" s="114"/>
      <c r="D101" s="114"/>
    </row>
    <row r="102" spans="2:12" s="4" customFormat="1" ht="14.5" thickBot="1">
      <c r="C102" s="114"/>
      <c r="D102" s="114"/>
    </row>
    <row r="103" spans="2:12" s="4" customFormat="1" ht="16" customHeight="1" thickBot="1">
      <c r="B103" s="101" t="str">
        <f>'Input BoM- Manufacturing'!N80</f>
        <v>Transport - ship</v>
      </c>
      <c r="C103" s="18" t="str">
        <f>'Input BoM- Manufacturing'!O80</f>
        <v>Value</v>
      </c>
      <c r="D103" s="18" t="str">
        <f>'Input BoM- Manufacturing'!P80</f>
        <v>Unit</v>
      </c>
      <c r="E103" s="18" t="s">
        <v>458</v>
      </c>
      <c r="F103" s="18" t="s">
        <v>459</v>
      </c>
      <c r="G103" s="18" t="s">
        <v>526</v>
      </c>
      <c r="H103" s="18" t="s">
        <v>503</v>
      </c>
      <c r="I103" s="18" t="s">
        <v>461</v>
      </c>
      <c r="J103" s="17" t="s">
        <v>462</v>
      </c>
      <c r="K103" s="102" t="s">
        <v>463</v>
      </c>
    </row>
    <row r="104" spans="2:12" s="4" customFormat="1" ht="14.5">
      <c r="B104" s="94" t="str">
        <f>'Input BoM- Manufacturing'!N81</f>
        <v>Weight of product (incl. packaging)</v>
      </c>
      <c r="C104" s="266">
        <f>'Input BoM- Manufacturing'!O81</f>
        <v>0.17487149999999996</v>
      </c>
      <c r="D104" s="112" t="str">
        <f>'Input BoM- Manufacturing'!P81</f>
        <v>ton</v>
      </c>
      <c r="E104" s="47"/>
      <c r="F104" s="47" t="str">
        <f>IF(E104="Stakeholder input","High quality",IF(E104="Previous study","Medium quality",IF(E104="Literature","Medium quality",IF(E104="Googling","Fair quality",IF(E104="Scientific literature","High quality",IF(E104="Expert judgement","Medium quality",""))))))</f>
        <v/>
      </c>
      <c r="G104" s="60" t="s">
        <v>527</v>
      </c>
      <c r="H104" s="82"/>
      <c r="I104" s="82"/>
      <c r="J104" s="103"/>
      <c r="K104" s="104"/>
    </row>
    <row r="105" spans="2:12" s="4" customFormat="1" ht="42.5" thickBot="1">
      <c r="B105" s="93" t="str">
        <f>'Input BoM- Manufacturing'!N82</f>
        <v>Distance</v>
      </c>
      <c r="C105" s="113">
        <f>'Input BoM- Manufacturing'!O82</f>
        <v>270</v>
      </c>
      <c r="D105" s="113" t="str">
        <f>'Input BoM- Manufacturing'!P82</f>
        <v>km</v>
      </c>
      <c r="E105" s="37"/>
      <c r="F105" s="37" t="str">
        <f t="shared" ref="F105" si="14">IF(E105="Stakeholder input","High quality",IF(E105="Previous study","Medium quality",IF(E105="Literature","Medium quality",IF(E105="Googling","Fair quality",IF(E105="Scientific literature","High quality",IF(E105="Expert judgement","Medium quality",""))))))</f>
        <v/>
      </c>
      <c r="G105" s="21" t="s">
        <v>532</v>
      </c>
      <c r="H105" s="21"/>
      <c r="I105" s="38"/>
      <c r="J105" s="105"/>
      <c r="K105" s="106"/>
      <c r="L105" s="12"/>
    </row>
    <row r="108" spans="2:12" ht="14.5" thickBot="1"/>
    <row r="109" spans="2:12" ht="14.5" thickBot="1">
      <c r="B109" s="116" t="s">
        <v>530</v>
      </c>
      <c r="C109" s="117" t="s">
        <v>377</v>
      </c>
      <c r="D109" s="117" t="s">
        <v>7</v>
      </c>
      <c r="E109" s="117" t="s">
        <v>533</v>
      </c>
      <c r="F109" s="118" t="s">
        <v>526</v>
      </c>
      <c r="G109" s="119"/>
    </row>
    <row r="110" spans="2:12" ht="14.5">
      <c r="B110" s="699" t="s">
        <v>534</v>
      </c>
      <c r="C110" s="30">
        <v>130</v>
      </c>
      <c r="D110" s="30" t="s">
        <v>378</v>
      </c>
      <c r="E110" s="30" t="s">
        <v>535</v>
      </c>
      <c r="F110" s="701" t="s">
        <v>536</v>
      </c>
      <c r="G110" s="702"/>
    </row>
    <row r="111" spans="2:12" ht="14.5">
      <c r="B111" s="700"/>
      <c r="C111" s="2">
        <v>240</v>
      </c>
      <c r="D111" s="2" t="s">
        <v>378</v>
      </c>
      <c r="E111" s="2" t="s">
        <v>537</v>
      </c>
      <c r="F111" s="703" t="s">
        <v>536</v>
      </c>
      <c r="G111" s="704"/>
    </row>
    <row r="112" spans="2:12" ht="14.5">
      <c r="B112" s="700"/>
      <c r="C112" s="2">
        <v>270</v>
      </c>
      <c r="D112" s="2" t="s">
        <v>378</v>
      </c>
      <c r="E112" s="2" t="s">
        <v>538</v>
      </c>
      <c r="F112" s="703" t="s">
        <v>536</v>
      </c>
      <c r="G112" s="704"/>
    </row>
    <row r="113" spans="2:11" ht="15" thickBot="1">
      <c r="B113" s="120" t="s">
        <v>539</v>
      </c>
      <c r="C113" s="92">
        <v>1200</v>
      </c>
      <c r="D113" s="92" t="s">
        <v>378</v>
      </c>
      <c r="E113" s="92" t="s">
        <v>535</v>
      </c>
      <c r="F113" s="691" t="s">
        <v>540</v>
      </c>
      <c r="G113" s="692"/>
    </row>
    <row r="116" spans="2:11" s="99" customFormat="1" ht="21">
      <c r="B116" s="54" t="s">
        <v>541</v>
      </c>
      <c r="D116" s="54"/>
      <c r="E116" s="54"/>
      <c r="F116" s="54"/>
      <c r="G116" s="54"/>
    </row>
    <row r="118" spans="2:11" ht="15" thickBot="1">
      <c r="E118" s="13" t="s">
        <v>525</v>
      </c>
    </row>
    <row r="119" spans="2:11" s="114" customFormat="1" ht="14.5" thickBot="1">
      <c r="B119" s="18" t="s">
        <v>382</v>
      </c>
      <c r="C119" s="18" t="s">
        <v>305</v>
      </c>
      <c r="D119" s="18" t="s">
        <v>7</v>
      </c>
      <c r="E119" s="18" t="s">
        <v>458</v>
      </c>
      <c r="F119" s="18" t="s">
        <v>459</v>
      </c>
      <c r="G119" s="18" t="s">
        <v>460</v>
      </c>
      <c r="H119" s="18" t="s">
        <v>503</v>
      </c>
      <c r="I119" s="18" t="s">
        <v>461</v>
      </c>
      <c r="J119" s="17" t="s">
        <v>462</v>
      </c>
      <c r="K119" s="102" t="s">
        <v>463</v>
      </c>
    </row>
    <row r="120" spans="2:11" s="114" customFormat="1" ht="14.5" thickBot="1">
      <c r="B120" s="121" t="s">
        <v>383</v>
      </c>
      <c r="C120" s="58"/>
      <c r="D120" s="58"/>
      <c r="E120" s="58"/>
      <c r="F120" s="58"/>
      <c r="G120" s="58"/>
      <c r="H120" s="58"/>
      <c r="I120" s="58"/>
      <c r="J120" s="58"/>
      <c r="K120" s="58"/>
    </row>
    <row r="121" spans="2:11">
      <c r="B121" s="78" t="s">
        <v>384</v>
      </c>
      <c r="C121" s="122">
        <f>'Input use - economics'!G7</f>
        <v>14065.7</v>
      </c>
      <c r="D121" s="251" t="str">
        <f>'Input use - economics'!H7</f>
        <v>kWh</v>
      </c>
      <c r="E121" s="47"/>
      <c r="F121" s="47" t="str">
        <f>IF(E121="Stakeholder input","High quality",IF(E121="Previous study","Medium quality",IF(E121="Literature","Medium quality",IF(E121="Googling","Fair quality",IF(E121="Scientific literature","High quality",IF(E121="Expert judgement","Medium quality",""))))))</f>
        <v/>
      </c>
      <c r="G121" s="78"/>
      <c r="H121" s="82"/>
      <c r="I121" s="82" t="s">
        <v>133</v>
      </c>
      <c r="J121" s="103"/>
      <c r="K121" s="104"/>
    </row>
    <row r="122" spans="2:11">
      <c r="B122" s="22" t="s">
        <v>385</v>
      </c>
      <c r="C122" s="124">
        <f>'Input use - economics'!G8</f>
        <v>1</v>
      </c>
      <c r="D122" s="252" t="str">
        <f>'Input use - economics'!H8</f>
        <v>%</v>
      </c>
      <c r="E122" s="33"/>
      <c r="F122" s="33" t="str">
        <f t="shared" ref="F122:F136" si="15">IF(E122="Stakeholder input","High quality",IF(E122="Previous study","Medium quality",IF(E122="Literature","Medium quality",IF(E122="Googling","Fair quality",IF(E122="Scientific literature","High quality",IF(E122="Expert judgement","Medium quality",""))))))</f>
        <v/>
      </c>
      <c r="G122" s="22"/>
      <c r="H122" s="22"/>
      <c r="I122" s="34" t="s">
        <v>133</v>
      </c>
      <c r="J122" s="108"/>
      <c r="K122" s="109"/>
    </row>
    <row r="123" spans="2:11" s="4" customFormat="1">
      <c r="B123" s="33" t="s">
        <v>387</v>
      </c>
      <c r="C123" s="126">
        <f>'Input use - economics'!G9</f>
        <v>0</v>
      </c>
      <c r="D123" s="253" t="str">
        <f>'Input use - economics'!H9</f>
        <v>%</v>
      </c>
      <c r="E123" s="33"/>
      <c r="F123" s="33" t="str">
        <f t="shared" si="15"/>
        <v/>
      </c>
      <c r="G123" s="33"/>
      <c r="H123" s="33"/>
      <c r="I123" s="34" t="s">
        <v>133</v>
      </c>
      <c r="J123" s="108"/>
      <c r="K123" s="109"/>
    </row>
    <row r="124" spans="2:11" s="4" customFormat="1">
      <c r="B124" s="521" t="s">
        <v>395</v>
      </c>
      <c r="C124" s="536">
        <f>'Input use - economics'!$G$15</f>
        <v>313.50250799999998</v>
      </c>
      <c r="D124" s="253" t="s">
        <v>396</v>
      </c>
      <c r="E124" s="48"/>
      <c r="F124" s="48" t="str">
        <f t="shared" si="15"/>
        <v/>
      </c>
      <c r="G124" s="48"/>
      <c r="H124" s="81"/>
      <c r="I124" s="535" t="s">
        <v>542</v>
      </c>
      <c r="J124" s="129"/>
      <c r="K124" s="135"/>
    </row>
    <row r="125" spans="2:11" s="4" customFormat="1" ht="14.5" thickBot="1">
      <c r="B125" s="48" t="s">
        <v>543</v>
      </c>
      <c r="C125" s="127">
        <f>'Input use - economics'!G10</f>
        <v>154977</v>
      </c>
      <c r="D125" s="254" t="str">
        <f>'Input use - economics'!H10</f>
        <v>litres/year</v>
      </c>
      <c r="E125" s="48"/>
      <c r="F125" s="48" t="str">
        <f t="shared" si="15"/>
        <v/>
      </c>
      <c r="G125" s="48"/>
      <c r="H125" s="81"/>
      <c r="I125" s="81" t="s">
        <v>133</v>
      </c>
      <c r="J125" s="129"/>
      <c r="K125" s="109"/>
    </row>
    <row r="126" spans="2:11" s="4" customFormat="1" ht="14.5" thickBot="1">
      <c r="B126" s="86" t="s">
        <v>397</v>
      </c>
      <c r="C126" s="130"/>
      <c r="D126" s="255"/>
      <c r="E126" s="96"/>
      <c r="F126" s="96"/>
      <c r="G126" s="96"/>
      <c r="H126" s="97"/>
      <c r="I126" s="97"/>
      <c r="J126" s="131"/>
      <c r="K126" s="109"/>
    </row>
    <row r="127" spans="2:11">
      <c r="B127" s="78" t="s">
        <v>398</v>
      </c>
      <c r="C127" s="122">
        <f>'Input use - economics'!G17</f>
        <v>110</v>
      </c>
      <c r="D127" s="251" t="str">
        <f>'Input use - economics'!H17</f>
        <v>cycles/day</v>
      </c>
      <c r="E127" s="47"/>
      <c r="F127" s="47" t="str">
        <f t="shared" si="15"/>
        <v/>
      </c>
      <c r="G127" s="78"/>
      <c r="H127" s="78"/>
      <c r="I127" s="82" t="s">
        <v>133</v>
      </c>
      <c r="J127" s="103"/>
      <c r="K127" s="109"/>
    </row>
    <row r="128" spans="2:11">
      <c r="B128" s="22" t="s">
        <v>604</v>
      </c>
      <c r="C128" s="256">
        <f>'Input use - economics'!G18</f>
        <v>300</v>
      </c>
      <c r="D128" s="252" t="str">
        <f>'Input use - economics'!H18</f>
        <v>days/year</v>
      </c>
      <c r="E128" s="33"/>
      <c r="F128" s="33" t="str">
        <f t="shared" si="15"/>
        <v/>
      </c>
      <c r="G128" s="22"/>
      <c r="H128" s="22"/>
      <c r="I128" s="34" t="s">
        <v>133</v>
      </c>
      <c r="J128" s="108"/>
      <c r="K128" s="109"/>
    </row>
    <row r="129" spans="2:11">
      <c r="B129" s="22" t="s">
        <v>402</v>
      </c>
      <c r="C129" s="256">
        <f>'Input use - economics'!G19</f>
        <v>18</v>
      </c>
      <c r="D129" s="252" t="str">
        <f>'Input use - economics'!H19</f>
        <v>unit</v>
      </c>
      <c r="E129" s="33"/>
      <c r="F129" s="33"/>
      <c r="G129" s="22"/>
      <c r="H129" s="22"/>
      <c r="I129" s="34" t="s">
        <v>133</v>
      </c>
      <c r="J129" s="108"/>
      <c r="K129" s="109"/>
    </row>
    <row r="130" spans="2:11" ht="14.5" thickBot="1">
      <c r="B130" s="80" t="s">
        <v>605</v>
      </c>
      <c r="C130" s="257">
        <f>'Input use - economics'!G21</f>
        <v>12</v>
      </c>
      <c r="D130" s="258" t="str">
        <f>'Input use - economics'!H21</f>
        <v>hours/day</v>
      </c>
      <c r="E130" s="48"/>
      <c r="F130" s="48"/>
      <c r="G130" s="80"/>
      <c r="H130" s="80"/>
      <c r="I130" s="81" t="s">
        <v>133</v>
      </c>
      <c r="J130" s="129"/>
      <c r="K130" s="109"/>
    </row>
    <row r="131" spans="2:11" ht="14.5" thickBot="1">
      <c r="B131" s="132" t="s">
        <v>406</v>
      </c>
      <c r="C131" s="259"/>
      <c r="D131" s="260"/>
      <c r="E131" s="96"/>
      <c r="F131" s="96"/>
      <c r="G131" s="98"/>
      <c r="H131" s="98"/>
      <c r="I131" s="97"/>
      <c r="J131" s="131"/>
      <c r="K131" s="109"/>
    </row>
    <row r="132" spans="2:11" s="4" customFormat="1" ht="14.5" thickBot="1">
      <c r="B132" s="133" t="s">
        <v>407</v>
      </c>
      <c r="C132" s="261">
        <f>'Input use - economics'!G23</f>
        <v>315.24299999999999</v>
      </c>
      <c r="D132" s="262" t="str">
        <f>'Input use - economics'!H23</f>
        <v>kg/year</v>
      </c>
      <c r="E132" s="47"/>
      <c r="F132" s="47" t="str">
        <f>IF(E132="Stakeholder input","High quality",IF(E132="Previous study","Medium quality",IF(E132="Literature","Medium quality",IF(E132="Googling","Fair quality",IF(E132="Scientific literature","High quality",IF(E132="Expert judgement","Medium quality",""))))))</f>
        <v/>
      </c>
      <c r="G132" s="47"/>
      <c r="H132" s="78"/>
      <c r="I132" s="82" t="s">
        <v>133</v>
      </c>
      <c r="J132" s="103"/>
      <c r="K132" s="109"/>
    </row>
    <row r="133" spans="2:11" s="4" customFormat="1">
      <c r="B133" s="51" t="s">
        <v>544</v>
      </c>
      <c r="C133" s="122">
        <f>'Input use - economics'!G24</f>
        <v>24.324300000000001</v>
      </c>
      <c r="D133" s="262" t="str">
        <f>'Input use - economics'!D24</f>
        <v>kg/year</v>
      </c>
      <c r="E133" s="51"/>
      <c r="F133" s="51"/>
      <c r="G133" s="51"/>
      <c r="H133" s="63"/>
      <c r="I133" s="82" t="s">
        <v>133</v>
      </c>
      <c r="J133" s="445"/>
      <c r="K133" s="135"/>
    </row>
    <row r="134" spans="2:11" s="4" customFormat="1">
      <c r="B134" s="125" t="s">
        <v>410</v>
      </c>
      <c r="C134" s="122">
        <f>'Input use - economics'!G25</f>
        <v>0</v>
      </c>
      <c r="D134" s="251">
        <f>'Input use - economics'!H25</f>
        <v>0</v>
      </c>
      <c r="E134" s="48"/>
      <c r="F134" s="48"/>
      <c r="G134" s="48"/>
      <c r="H134" s="80"/>
      <c r="I134" s="34" t="s">
        <v>133</v>
      </c>
      <c r="J134" s="129"/>
      <c r="K134" s="135"/>
    </row>
    <row r="135" spans="2:11" s="4" customFormat="1">
      <c r="B135" s="125" t="s">
        <v>411</v>
      </c>
      <c r="C135" s="256">
        <f>'Input use - economics'!G26</f>
        <v>0</v>
      </c>
      <c r="D135" s="254" t="str">
        <f>'Input use - economics'!H26</f>
        <v>-</v>
      </c>
      <c r="E135" s="48"/>
      <c r="F135" s="48"/>
      <c r="G135" s="48"/>
      <c r="H135" s="80"/>
      <c r="I135" s="34" t="s">
        <v>133</v>
      </c>
      <c r="J135" s="129"/>
      <c r="K135" s="135"/>
    </row>
    <row r="136" spans="2:11" ht="14.5" thickBot="1">
      <c r="B136" s="88" t="s">
        <v>413</v>
      </c>
      <c r="C136" s="263">
        <f>'Input use - economics'!G27</f>
        <v>0</v>
      </c>
      <c r="D136" s="264" t="str">
        <f>'Input use - economics'!H27</f>
        <v>%</v>
      </c>
      <c r="E136" s="37"/>
      <c r="F136" s="37" t="str">
        <f t="shared" si="15"/>
        <v/>
      </c>
      <c r="G136" s="21"/>
      <c r="H136" s="21"/>
      <c r="I136" s="38" t="s">
        <v>133</v>
      </c>
      <c r="J136" s="105"/>
      <c r="K136" s="106"/>
    </row>
    <row r="138" spans="2:11" ht="15" thickBot="1">
      <c r="B138" s="111" t="s">
        <v>545</v>
      </c>
    </row>
    <row r="139" spans="2:11" s="114" customFormat="1" ht="14.5" thickBot="1">
      <c r="B139" s="18" t="s">
        <v>546</v>
      </c>
      <c r="C139" s="18" t="s">
        <v>305</v>
      </c>
      <c r="D139" s="18" t="s">
        <v>7</v>
      </c>
      <c r="E139" s="18" t="s">
        <v>458</v>
      </c>
      <c r="F139" s="18" t="s">
        <v>459</v>
      </c>
      <c r="G139" s="18" t="s">
        <v>460</v>
      </c>
      <c r="H139" s="18" t="s">
        <v>503</v>
      </c>
      <c r="I139" s="18" t="s">
        <v>461</v>
      </c>
      <c r="J139" s="17" t="s">
        <v>462</v>
      </c>
      <c r="K139" s="102" t="s">
        <v>463</v>
      </c>
    </row>
    <row r="140" spans="2:11" ht="14.5" thickBot="1">
      <c r="B140" s="132" t="s">
        <v>276</v>
      </c>
      <c r="C140" s="132"/>
      <c r="D140" s="132"/>
      <c r="E140" s="132"/>
      <c r="F140" s="137"/>
      <c r="G140" s="132"/>
      <c r="H140" s="132"/>
      <c r="I140" s="132"/>
      <c r="J140" s="131"/>
      <c r="K140" s="131"/>
    </row>
    <row r="141" spans="2:11" ht="14.5">
      <c r="B141" s="138" t="s">
        <v>547</v>
      </c>
      <c r="C141" s="139">
        <f>(C121*C122)/C142</f>
        <v>0.42623333333333335</v>
      </c>
      <c r="D141" s="134" t="s">
        <v>368</v>
      </c>
      <c r="E141" s="41"/>
      <c r="F141" s="20" t="str">
        <f>IF(E141="Stakeholder input","High quality",IF(E141="Previous study","Medium quality",IF(E141="Literature","Medium quality",IF(E141="Googling","Fair quality",IF(E141="Scientific literature","High quality",IF(E141="Expert judgement","Medium quality",""))))))</f>
        <v/>
      </c>
      <c r="G141" s="20"/>
      <c r="H141" s="20"/>
      <c r="I141" s="20" t="s">
        <v>254</v>
      </c>
      <c r="J141" s="103"/>
      <c r="K141" s="104"/>
    </row>
    <row r="142" spans="2:11" ht="15" thickBot="1">
      <c r="B142" s="140" t="s">
        <v>548</v>
      </c>
      <c r="C142" s="21">
        <f>C127*C128</f>
        <v>33000</v>
      </c>
      <c r="D142" s="136" t="s">
        <v>549</v>
      </c>
      <c r="E142" s="37"/>
      <c r="F142" s="21" t="str">
        <f t="shared" ref="F142:F146" si="16">IF(E142="Stakeholder input","High quality",IF(E142="Previous study","Medium quality",IF(E142="Literature","Medium quality",IF(E142="Googling","Fair quality",IF(E142="Scientific literature","High quality",IF(E142="Expert judgement","Medium quality",""))))))</f>
        <v/>
      </c>
      <c r="G142" s="21"/>
      <c r="H142" s="21"/>
      <c r="I142" s="81" t="s">
        <v>254</v>
      </c>
      <c r="J142" s="129"/>
      <c r="K142" s="135"/>
    </row>
    <row r="143" spans="2:11" ht="14.5">
      <c r="B143" s="141" t="s">
        <v>550</v>
      </c>
      <c r="C143" s="142">
        <f>'T3 Input data'!$G$164</f>
        <v>0.26</v>
      </c>
      <c r="D143" s="91" t="s">
        <v>368</v>
      </c>
      <c r="E143" s="41"/>
      <c r="F143" s="22" t="str">
        <f t="shared" si="16"/>
        <v/>
      </c>
      <c r="G143" s="22"/>
      <c r="H143" s="22"/>
      <c r="I143" s="20" t="s">
        <v>254</v>
      </c>
      <c r="J143" s="143"/>
      <c r="K143" s="144"/>
    </row>
    <row r="144" spans="2:11" ht="29" thickBot="1">
      <c r="B144" s="140" t="s">
        <v>551</v>
      </c>
      <c r="C144" s="21">
        <f>'T3 Input data'!F164*'Input use - economics'!G18</f>
        <v>2550</v>
      </c>
      <c r="D144" s="88" t="s">
        <v>549</v>
      </c>
      <c r="E144" s="37"/>
      <c r="F144" s="22" t="str">
        <f t="shared" si="16"/>
        <v/>
      </c>
      <c r="G144" s="22" t="s">
        <v>552</v>
      </c>
      <c r="H144" s="22"/>
      <c r="I144" s="38" t="s">
        <v>254</v>
      </c>
      <c r="J144" s="105"/>
      <c r="K144" s="106"/>
    </row>
    <row r="145" spans="2:11" ht="14.5">
      <c r="B145" s="141" t="s">
        <v>553</v>
      </c>
      <c r="C145" s="145"/>
      <c r="D145" s="134" t="s">
        <v>368</v>
      </c>
      <c r="E145" s="41"/>
      <c r="F145" s="23" t="str">
        <f t="shared" si="16"/>
        <v/>
      </c>
      <c r="G145" s="23"/>
      <c r="H145" s="23"/>
      <c r="I145" s="82" t="s">
        <v>254</v>
      </c>
      <c r="J145" s="103"/>
      <c r="K145" s="104"/>
    </row>
    <row r="146" spans="2:11" ht="15" thickBot="1">
      <c r="B146" s="140" t="s">
        <v>554</v>
      </c>
      <c r="C146" s="113"/>
      <c r="D146" s="88" t="s">
        <v>549</v>
      </c>
      <c r="E146" s="37"/>
      <c r="F146" s="24" t="str">
        <f t="shared" si="16"/>
        <v/>
      </c>
      <c r="G146" s="24"/>
      <c r="H146" s="24"/>
      <c r="I146" s="38" t="s">
        <v>254</v>
      </c>
      <c r="J146" s="129"/>
      <c r="K146" s="135"/>
    </row>
    <row r="147" spans="2:11" ht="14.5" thickBot="1">
      <c r="B147" s="132" t="s">
        <v>370</v>
      </c>
      <c r="C147" s="132"/>
      <c r="D147" s="146"/>
      <c r="E147" s="132"/>
      <c r="F147" s="132"/>
      <c r="G147" s="132"/>
      <c r="H147" s="132"/>
      <c r="I147" s="132"/>
      <c r="J147" s="131"/>
      <c r="K147" s="131"/>
    </row>
    <row r="148" spans="2:11" s="147" customFormat="1" ht="56">
      <c r="B148" s="148" t="s">
        <v>555</v>
      </c>
      <c r="C148" s="149">
        <f>((C121*C123)+C124)/C149</f>
        <v>9.5000759999999997E-3</v>
      </c>
      <c r="D148" s="87" t="s">
        <v>368</v>
      </c>
      <c r="E148" s="42"/>
      <c r="F148" s="20" t="str">
        <f>IF(E148="Stakeholder input","High quality",IF(E148="Previous study","Medium quality",IF(E148="Literature","Medium quality",IF(E148="Googling","Fair quality",IF(E148="Scientific literature","High quality",IF(E148="Expert judgement","Medium quality",""))))))</f>
        <v/>
      </c>
      <c r="G148" s="20" t="s">
        <v>556</v>
      </c>
      <c r="H148" s="20" t="s">
        <v>557</v>
      </c>
      <c r="I148" s="20" t="s">
        <v>254</v>
      </c>
      <c r="J148" s="103"/>
      <c r="K148" s="104"/>
    </row>
    <row r="149" spans="2:11">
      <c r="B149" s="150" t="s">
        <v>558</v>
      </c>
      <c r="C149" s="21">
        <f>C142</f>
        <v>33000</v>
      </c>
      <c r="D149" s="88" t="s">
        <v>549</v>
      </c>
      <c r="E149" s="37"/>
      <c r="F149" s="37" t="str">
        <f>IF(E149="Stakeholder input","High quality",IF(E149="Previous study","Medium quality",IF(E149="Literature","Medium quality",IF(E149="Googling","Fair quality",IF(E149="Scientific literature","High quality",IF(E149="Expert judgement","Medium quality",""))))))</f>
        <v/>
      </c>
      <c r="G149" s="21"/>
      <c r="H149" s="21"/>
      <c r="I149" s="38" t="s">
        <v>254</v>
      </c>
      <c r="J149" s="129"/>
      <c r="K149" s="135"/>
    </row>
    <row r="150" spans="2:11" ht="14.5">
      <c r="B150" s="151" t="s">
        <v>559</v>
      </c>
      <c r="C150" s="152">
        <f>((C121*C123)+C124)/C151</f>
        <v>8.7084029999999993E-2</v>
      </c>
      <c r="D150" s="89" t="s">
        <v>560</v>
      </c>
      <c r="E150" s="43"/>
      <c r="F150" s="25" t="str">
        <f t="shared" ref="F150:F165" si="17">IF(E150="Stakeholder input","High quality",IF(E150="Previous study","Medium quality",IF(E150="Literature","Medium quality",IF(E150="Googling","Fair quality",IF(E150="Scientific literature","High quality",IF(E150="Expert judgement","Medium quality",""))))))</f>
        <v/>
      </c>
      <c r="G150" s="25" t="s">
        <v>556</v>
      </c>
      <c r="H150" s="25"/>
      <c r="I150" s="25" t="s">
        <v>254</v>
      </c>
      <c r="J150" s="143"/>
      <c r="K150" s="144"/>
    </row>
    <row r="151" spans="2:11" ht="14.5">
      <c r="B151" s="153" t="s">
        <v>561</v>
      </c>
      <c r="C151" s="154">
        <f>C130*C128</f>
        <v>3600</v>
      </c>
      <c r="D151" s="90" t="s">
        <v>562</v>
      </c>
      <c r="E151" s="44"/>
      <c r="F151" s="26" t="str">
        <f t="shared" si="17"/>
        <v/>
      </c>
      <c r="G151" s="26"/>
      <c r="H151" s="26"/>
      <c r="I151" s="26" t="s">
        <v>254</v>
      </c>
      <c r="J151" s="108"/>
      <c r="K151" s="109"/>
    </row>
    <row r="152" spans="2:11" ht="15" thickBot="1">
      <c r="B152" s="285" t="s">
        <v>563</v>
      </c>
      <c r="C152" s="155"/>
      <c r="D152" s="156"/>
      <c r="E152" s="45"/>
      <c r="F152" s="27" t="str">
        <f t="shared" si="17"/>
        <v/>
      </c>
      <c r="G152" s="27"/>
      <c r="H152" s="27"/>
      <c r="I152" s="27"/>
      <c r="J152" s="105"/>
      <c r="K152" s="106"/>
    </row>
    <row r="153" spans="2:11" ht="14.5" thickBot="1">
      <c r="B153" s="132" t="s">
        <v>564</v>
      </c>
      <c r="C153" s="132"/>
      <c r="D153" s="146"/>
      <c r="E153" s="132"/>
      <c r="F153" s="132" t="str">
        <f t="shared" si="17"/>
        <v/>
      </c>
      <c r="G153" s="132"/>
      <c r="H153" s="132"/>
      <c r="I153" s="132"/>
      <c r="J153" s="131"/>
      <c r="K153" s="131"/>
    </row>
    <row r="154" spans="2:11">
      <c r="B154" s="157" t="s">
        <v>565</v>
      </c>
      <c r="C154" s="158">
        <f>(C125/C155)*0.001</f>
        <v>4.6962727272727269E-3</v>
      </c>
      <c r="D154" s="91" t="s">
        <v>566</v>
      </c>
      <c r="E154" s="41"/>
      <c r="F154" s="29" t="str">
        <f t="shared" si="17"/>
        <v/>
      </c>
      <c r="G154" s="29"/>
      <c r="H154" s="20"/>
      <c r="I154" s="20" t="s">
        <v>254</v>
      </c>
      <c r="J154" s="103"/>
      <c r="K154" s="104"/>
    </row>
    <row r="155" spans="2:11" ht="14.5" thickBot="1">
      <c r="B155" s="159" t="s">
        <v>558</v>
      </c>
      <c r="C155" s="21">
        <f>C142</f>
        <v>33000</v>
      </c>
      <c r="D155" s="88" t="s">
        <v>549</v>
      </c>
      <c r="E155" s="37"/>
      <c r="F155" s="21" t="str">
        <f t="shared" si="17"/>
        <v/>
      </c>
      <c r="G155" s="21"/>
      <c r="H155" s="21"/>
      <c r="I155" s="21" t="s">
        <v>254</v>
      </c>
      <c r="J155" s="129"/>
      <c r="K155" s="135"/>
    </row>
    <row r="156" spans="2:11" ht="14.5" thickBot="1">
      <c r="B156" s="441" t="s">
        <v>567</v>
      </c>
      <c r="C156" s="447">
        <f>C125*0.001</f>
        <v>154.977</v>
      </c>
      <c r="D156" s="443" t="s">
        <v>566</v>
      </c>
      <c r="E156" s="444"/>
      <c r="F156" s="442"/>
      <c r="G156" s="442"/>
      <c r="H156" s="442"/>
      <c r="I156" s="442" t="s">
        <v>542</v>
      </c>
      <c r="J156" s="445"/>
      <c r="K156" s="446"/>
    </row>
    <row r="157" spans="2:11" ht="14.5" thickBot="1">
      <c r="B157" s="132" t="s">
        <v>406</v>
      </c>
      <c r="C157" s="132"/>
      <c r="D157" s="146"/>
      <c r="E157" s="132"/>
      <c r="F157" s="132" t="str">
        <f t="shared" si="17"/>
        <v/>
      </c>
      <c r="G157" s="132"/>
      <c r="H157" s="132"/>
      <c r="I157" s="132"/>
      <c r="J157" s="131"/>
      <c r="K157" s="131"/>
    </row>
    <row r="158" spans="2:11" ht="15" thickBot="1">
      <c r="B158" s="160" t="s">
        <v>568</v>
      </c>
      <c r="C158" s="161">
        <f>C132/C142</f>
        <v>9.5528181818181814E-3</v>
      </c>
      <c r="D158" s="162" t="s">
        <v>309</v>
      </c>
      <c r="E158" s="46"/>
      <c r="F158" s="28" t="str">
        <f t="shared" si="17"/>
        <v/>
      </c>
      <c r="G158" s="28"/>
      <c r="H158" s="28"/>
      <c r="I158" s="28" t="s">
        <v>254</v>
      </c>
      <c r="J158" s="163"/>
      <c r="K158" s="164"/>
    </row>
    <row r="159" spans="2:11" ht="15" thickBot="1">
      <c r="B159" s="551" t="s">
        <v>606</v>
      </c>
      <c r="C159" s="161">
        <f>C133/C142</f>
        <v>7.3710000000000008E-4</v>
      </c>
      <c r="D159" s="162" t="s">
        <v>309</v>
      </c>
      <c r="E159" s="51"/>
      <c r="F159" s="63"/>
      <c r="G159" s="63"/>
      <c r="H159" s="63"/>
      <c r="I159" s="63"/>
      <c r="J159" s="445"/>
      <c r="K159" s="446"/>
    </row>
    <row r="160" spans="2:11">
      <c r="B160" s="157" t="s">
        <v>569</v>
      </c>
      <c r="C160" s="78">
        <f>C134</f>
        <v>0</v>
      </c>
      <c r="D160" s="123"/>
      <c r="E160" s="47"/>
      <c r="F160" s="78" t="str">
        <f t="shared" si="17"/>
        <v/>
      </c>
      <c r="G160" s="78"/>
      <c r="H160" s="78"/>
      <c r="I160" s="78" t="s">
        <v>570</v>
      </c>
      <c r="J160" s="103"/>
      <c r="K160" s="104"/>
    </row>
    <row r="161" spans="1:12">
      <c r="B161" s="165" t="s">
        <v>411</v>
      </c>
      <c r="C161" s="22">
        <f>C135</f>
        <v>0</v>
      </c>
      <c r="D161" s="128" t="s">
        <v>412</v>
      </c>
      <c r="E161" s="33"/>
      <c r="F161" s="22" t="str">
        <f t="shared" si="17"/>
        <v/>
      </c>
      <c r="G161" s="22"/>
      <c r="H161" s="22"/>
      <c r="I161" s="78" t="s">
        <v>570</v>
      </c>
      <c r="J161" s="108"/>
      <c r="K161" s="109"/>
    </row>
    <row r="162" spans="1:12" ht="14.5" thickBot="1">
      <c r="B162" s="166" t="s">
        <v>413</v>
      </c>
      <c r="C162" s="80">
        <f>C136</f>
        <v>0</v>
      </c>
      <c r="D162" s="128" t="s">
        <v>386</v>
      </c>
      <c r="E162" s="48"/>
      <c r="F162" s="80" t="str">
        <f t="shared" si="17"/>
        <v/>
      </c>
      <c r="G162" s="80"/>
      <c r="H162" s="80"/>
      <c r="I162" s="78" t="s">
        <v>570</v>
      </c>
      <c r="J162" s="129"/>
      <c r="K162" s="135"/>
    </row>
    <row r="163" spans="1:12" ht="14.5" thickBot="1">
      <c r="B163" s="132" t="s">
        <v>571</v>
      </c>
      <c r="C163" s="132"/>
      <c r="D163" s="146"/>
      <c r="E163" s="132"/>
      <c r="F163" s="132" t="str">
        <f t="shared" si="17"/>
        <v/>
      </c>
      <c r="G163" s="132"/>
      <c r="H163" s="132"/>
      <c r="I163" s="132"/>
      <c r="J163" s="131"/>
      <c r="K163" s="131"/>
    </row>
    <row r="164" spans="1:12">
      <c r="B164" s="78"/>
      <c r="C164" s="78"/>
      <c r="D164" s="123"/>
      <c r="E164" s="47"/>
      <c r="F164" s="78" t="str">
        <f t="shared" si="17"/>
        <v/>
      </c>
      <c r="G164" s="78"/>
      <c r="H164" s="78"/>
      <c r="I164" s="78"/>
      <c r="J164" s="103"/>
      <c r="K164" s="104"/>
    </row>
    <row r="165" spans="1:12" ht="14.5" thickBot="1">
      <c r="B165" s="21"/>
      <c r="C165" s="21"/>
      <c r="D165" s="88"/>
      <c r="E165" s="37"/>
      <c r="F165" s="21" t="str">
        <f t="shared" si="17"/>
        <v/>
      </c>
      <c r="G165" s="21"/>
      <c r="H165" s="21"/>
      <c r="I165" s="21"/>
      <c r="J165" s="105"/>
      <c r="K165" s="106"/>
    </row>
    <row r="167" spans="1:12" s="99" customFormat="1" ht="21">
      <c r="A167" s="110"/>
      <c r="B167" s="52" t="s">
        <v>572</v>
      </c>
      <c r="C167" s="110"/>
      <c r="D167" s="52"/>
      <c r="E167" s="52"/>
      <c r="F167" s="110"/>
      <c r="G167" s="110"/>
      <c r="H167" s="110"/>
      <c r="I167" s="110"/>
      <c r="J167" s="110"/>
      <c r="K167" s="110"/>
      <c r="L167" s="110"/>
    </row>
    <row r="168" spans="1:12" ht="14.5" thickBot="1">
      <c r="B168"/>
    </row>
    <row r="169" spans="1:12" ht="14.5" thickBot="1">
      <c r="B169" s="83" t="s">
        <v>573</v>
      </c>
      <c r="C169" s="84" t="s">
        <v>305</v>
      </c>
      <c r="D169" s="83" t="s">
        <v>7</v>
      </c>
      <c r="E169" s="84" t="s">
        <v>458</v>
      </c>
      <c r="F169" s="83" t="s">
        <v>459</v>
      </c>
      <c r="G169" s="83" t="s">
        <v>460</v>
      </c>
      <c r="H169" s="83" t="s">
        <v>503</v>
      </c>
      <c r="I169" s="84" t="s">
        <v>461</v>
      </c>
      <c r="J169" s="85" t="s">
        <v>462</v>
      </c>
      <c r="K169" s="167" t="s">
        <v>463</v>
      </c>
    </row>
    <row r="170" spans="1:12" ht="14.5" thickBot="1">
      <c r="B170" s="132" t="s">
        <v>415</v>
      </c>
      <c r="C170" s="132"/>
      <c r="D170" s="132"/>
      <c r="E170" s="132"/>
      <c r="F170" s="132"/>
      <c r="G170" s="132"/>
      <c r="H170" s="132"/>
      <c r="I170" s="146"/>
      <c r="J170" s="131"/>
      <c r="K170" s="131"/>
    </row>
    <row r="171" spans="1:12">
      <c r="A171" s="4"/>
      <c r="B171" s="47" t="s">
        <v>416</v>
      </c>
      <c r="C171" s="273">
        <f>'Input use - economics'!G36</f>
        <v>8</v>
      </c>
      <c r="D171" s="47" t="str">
        <f>'Input use - economics'!H36</f>
        <v>years</v>
      </c>
      <c r="E171" s="47"/>
      <c r="F171" s="47" t="str">
        <f>IF(E171="Stakeholder input","High quality",IF(E171="Previous study","Medium quality",IF(E171="Literature","Medium quality",IF(E171="Googling","Fair quality",IF(E171="Scientific literature","High quality",IF(E171="Expert judgement","Medium quality",""))))))</f>
        <v/>
      </c>
      <c r="G171" s="47"/>
      <c r="H171" s="47"/>
      <c r="I171" s="47" t="s">
        <v>542</v>
      </c>
      <c r="J171" s="103"/>
      <c r="K171" s="104"/>
      <c r="L171" s="4"/>
    </row>
    <row r="172" spans="1:12" ht="14.5" thickBot="1">
      <c r="A172" s="4"/>
      <c r="B172" s="48" t="s">
        <v>418</v>
      </c>
      <c r="C172" s="274">
        <f>'Input use - economics'!G37</f>
        <v>2.2000000000000002</v>
      </c>
      <c r="D172" s="48" t="str">
        <f>'Input use - economics'!H37</f>
        <v>-</v>
      </c>
      <c r="E172" s="48"/>
      <c r="F172" s="48" t="str">
        <f t="shared" ref="F172:F187" si="18">IF(E172="Stakeholder input","High quality",IF(E172="Previous study","Medium quality",IF(E172="Literature","Medium quality",IF(E172="Googling","Fair quality",IF(E172="Scientific literature","High quality",IF(E172="Expert judgement","Medium quality",""))))))</f>
        <v/>
      </c>
      <c r="G172" s="48"/>
      <c r="H172" s="48"/>
      <c r="I172" s="33" t="s">
        <v>542</v>
      </c>
      <c r="J172" s="129"/>
      <c r="K172" s="135"/>
      <c r="L172" s="4"/>
    </row>
    <row r="173" spans="1:12" ht="14.5" thickBot="1">
      <c r="A173" s="4"/>
      <c r="B173" s="86" t="s">
        <v>419</v>
      </c>
      <c r="C173" s="275"/>
      <c r="D173" s="86"/>
      <c r="E173" s="86"/>
      <c r="F173" s="86" t="str">
        <f t="shared" si="18"/>
        <v/>
      </c>
      <c r="G173" s="86"/>
      <c r="H173" s="86"/>
      <c r="I173" s="86"/>
      <c r="J173" s="131"/>
      <c r="K173" s="131"/>
      <c r="L173" s="4"/>
    </row>
    <row r="174" spans="1:12" ht="28">
      <c r="A174" s="4"/>
      <c r="B174" s="41" t="s">
        <v>574</v>
      </c>
      <c r="C174" s="276">
        <f>'Input use - economics'!G39</f>
        <v>7.7252000000000001E-2</v>
      </c>
      <c r="D174" s="41" t="str">
        <f>'Input use - economics'!H39</f>
        <v>mln. units/year</v>
      </c>
      <c r="E174" s="41" t="s">
        <v>607</v>
      </c>
      <c r="F174" s="41" t="str">
        <f t="shared" si="18"/>
        <v>Medium quality</v>
      </c>
      <c r="G174" s="41"/>
      <c r="H174" s="41" t="s">
        <v>575</v>
      </c>
      <c r="I174" s="41" t="s">
        <v>576</v>
      </c>
      <c r="J174" s="143"/>
      <c r="K174" s="104"/>
      <c r="L174" s="4"/>
    </row>
    <row r="175" spans="1:12" ht="68.5" customHeight="1">
      <c r="A175" s="4"/>
      <c r="B175" s="33" t="s">
        <v>422</v>
      </c>
      <c r="C175" s="452">
        <f>'Input use - economics'!G40</f>
        <v>8662.40625</v>
      </c>
      <c r="D175" s="33" t="str">
        <f>'Input use - economics'!H40</f>
        <v>Euro/unit</v>
      </c>
      <c r="E175" s="33" t="s">
        <v>577</v>
      </c>
      <c r="F175" s="33" t="str">
        <f t="shared" si="18"/>
        <v>Medium quality</v>
      </c>
      <c r="G175" s="33" t="s">
        <v>578</v>
      </c>
      <c r="H175" s="33" t="s">
        <v>608</v>
      </c>
      <c r="I175" s="33" t="s">
        <v>576</v>
      </c>
      <c r="J175" s="108"/>
      <c r="K175" s="109"/>
      <c r="L175" s="4"/>
    </row>
    <row r="176" spans="1:12" ht="70">
      <c r="A176" s="4"/>
      <c r="B176" s="33" t="s">
        <v>424</v>
      </c>
      <c r="C176" s="453">
        <f>'Input use - economics'!G41</f>
        <v>15</v>
      </c>
      <c r="D176" s="33" t="str">
        <f>'Input use - economics'!H41</f>
        <v>-</v>
      </c>
      <c r="E176" s="33"/>
      <c r="F176" s="33" t="str">
        <f t="shared" si="18"/>
        <v/>
      </c>
      <c r="G176" s="360" t="s">
        <v>579</v>
      </c>
      <c r="H176" s="481" t="s">
        <v>580</v>
      </c>
      <c r="I176" s="33" t="s">
        <v>576</v>
      </c>
      <c r="J176" s="108"/>
      <c r="K176" s="109"/>
      <c r="L176" s="4"/>
    </row>
    <row r="177" spans="1:12" ht="70">
      <c r="A177" s="4"/>
      <c r="B177" s="33" t="s">
        <v>425</v>
      </c>
      <c r="C177" s="277">
        <f>'Input use - economics'!G42</f>
        <v>0</v>
      </c>
      <c r="D177" s="33" t="str">
        <f>'Input use - economics'!H42</f>
        <v>Euro/ unit</v>
      </c>
      <c r="E177" s="33"/>
      <c r="F177" s="33" t="str">
        <f t="shared" si="18"/>
        <v/>
      </c>
      <c r="G177" s="33" t="s">
        <v>581</v>
      </c>
      <c r="H177" s="33"/>
      <c r="I177" s="33" t="s">
        <v>576</v>
      </c>
      <c r="J177" s="108"/>
      <c r="K177" s="109"/>
      <c r="L177" s="4"/>
    </row>
    <row r="178" spans="1:12" ht="42">
      <c r="A178" s="4"/>
      <c r="B178" s="33" t="s">
        <v>427</v>
      </c>
      <c r="C178" s="480">
        <f>'Input use - economics'!G43</f>
        <v>2.3477100000000001E-2</v>
      </c>
      <c r="D178" s="33" t="str">
        <f>'Input use - economics'!H43</f>
        <v>Euro/MJ</v>
      </c>
      <c r="E178" s="33"/>
      <c r="F178" s="33" t="str">
        <f t="shared" si="18"/>
        <v/>
      </c>
      <c r="G178" s="360" t="s">
        <v>582</v>
      </c>
      <c r="H178" s="360" t="s">
        <v>583</v>
      </c>
      <c r="I178" s="33" t="s">
        <v>576</v>
      </c>
      <c r="J178" s="108"/>
      <c r="K178" s="109"/>
      <c r="L178" s="4"/>
    </row>
    <row r="179" spans="1:12" ht="42">
      <c r="A179" s="4"/>
      <c r="B179" s="33" t="s">
        <v>429</v>
      </c>
      <c r="C179" s="277">
        <f>'Input use - economics'!G44</f>
        <v>0.2571</v>
      </c>
      <c r="D179" s="33" t="str">
        <f>'Input use - economics'!H44</f>
        <v>Euro/kWh</v>
      </c>
      <c r="E179" s="33" t="s">
        <v>577</v>
      </c>
      <c r="F179" s="33" t="str">
        <f t="shared" si="18"/>
        <v>Medium quality</v>
      </c>
      <c r="G179" s="33" t="s">
        <v>584</v>
      </c>
      <c r="H179" s="33" t="s">
        <v>585</v>
      </c>
      <c r="I179" s="33" t="s">
        <v>576</v>
      </c>
      <c r="J179" s="108"/>
      <c r="K179" s="109"/>
      <c r="L179" s="4"/>
    </row>
    <row r="180" spans="1:12" ht="28">
      <c r="A180" s="4"/>
      <c r="B180" s="33" t="s">
        <v>431</v>
      </c>
      <c r="C180" s="277">
        <f>'Input use - economics'!G45</f>
        <v>1.91</v>
      </c>
      <c r="D180" s="33" t="str">
        <f>'Input use - economics'!H45</f>
        <v>Euro/m3</v>
      </c>
      <c r="E180" s="33" t="s">
        <v>577</v>
      </c>
      <c r="F180" s="33" t="str">
        <f t="shared" si="18"/>
        <v>Medium quality</v>
      </c>
      <c r="G180" s="33" t="s">
        <v>586</v>
      </c>
      <c r="H180" s="33" t="s">
        <v>587</v>
      </c>
      <c r="I180" s="33" t="s">
        <v>576</v>
      </c>
      <c r="J180" s="108"/>
      <c r="K180" s="109"/>
      <c r="L180" s="4"/>
    </row>
    <row r="181" spans="1:12" ht="28">
      <c r="A181" s="4"/>
      <c r="B181" s="33" t="s">
        <v>433</v>
      </c>
      <c r="C181" s="450">
        <f>'Input use - economics'!G46</f>
        <v>3811.4587500000002</v>
      </c>
      <c r="D181" s="33" t="str">
        <f>'Input use - economics'!H46</f>
        <v>Euro/ unit</v>
      </c>
      <c r="E181" s="33" t="s">
        <v>577</v>
      </c>
      <c r="F181" s="33" t="str">
        <f t="shared" si="18"/>
        <v>Medium quality</v>
      </c>
      <c r="G181" s="33" t="s">
        <v>588</v>
      </c>
      <c r="H181" s="33" t="s">
        <v>609</v>
      </c>
      <c r="I181" s="33" t="s">
        <v>576</v>
      </c>
      <c r="J181" s="108"/>
      <c r="K181" s="109"/>
      <c r="L181" s="4"/>
    </row>
    <row r="182" spans="1:12">
      <c r="A182" s="4"/>
      <c r="B182" s="33" t="s">
        <v>434</v>
      </c>
      <c r="C182" s="456">
        <f>'Input use - economics'!G47</f>
        <v>0.03</v>
      </c>
      <c r="D182" s="33" t="str">
        <f>'Input use - economics'!H47</f>
        <v>%</v>
      </c>
      <c r="E182" s="33" t="s">
        <v>577</v>
      </c>
      <c r="F182" s="33" t="str">
        <f t="shared" si="18"/>
        <v>Medium quality</v>
      </c>
      <c r="G182" s="457" t="s">
        <v>589</v>
      </c>
      <c r="H182" s="458" t="s">
        <v>590</v>
      </c>
      <c r="I182" s="33" t="s">
        <v>576</v>
      </c>
      <c r="J182" s="108"/>
      <c r="K182" s="109"/>
      <c r="L182" s="4"/>
    </row>
    <row r="183" spans="1:12" ht="38.25" customHeight="1">
      <c r="A183" s="4"/>
      <c r="B183" s="33" t="s">
        <v>435</v>
      </c>
      <c r="C183" s="455">
        <f>'Input use - economics'!G48</f>
        <v>1.4368992961148625E-2</v>
      </c>
      <c r="D183" s="33" t="str">
        <f>'Input use - economics'!H48</f>
        <v>%</v>
      </c>
      <c r="E183" s="33"/>
      <c r="F183" s="33" t="str">
        <f t="shared" si="18"/>
        <v/>
      </c>
      <c r="G183" s="33"/>
      <c r="H183" s="33"/>
      <c r="I183" s="33" t="s">
        <v>576</v>
      </c>
      <c r="J183" s="108"/>
      <c r="K183" s="109"/>
      <c r="L183" s="4"/>
    </row>
    <row r="184" spans="1:12" ht="28">
      <c r="A184" s="4"/>
      <c r="B184" s="33" t="s">
        <v>436</v>
      </c>
      <c r="C184" s="277">
        <f>'Input use - economics'!G49</f>
        <v>1</v>
      </c>
      <c r="D184" s="33" t="str">
        <f>'Input use - economics'!H49</f>
        <v>-</v>
      </c>
      <c r="E184" s="33" t="s">
        <v>504</v>
      </c>
      <c r="F184" s="33" t="str">
        <f t="shared" si="18"/>
        <v>High quality</v>
      </c>
      <c r="G184" s="33"/>
      <c r="H184" s="33" t="s">
        <v>591</v>
      </c>
      <c r="I184" s="33" t="s">
        <v>576</v>
      </c>
      <c r="J184" s="108"/>
      <c r="K184" s="109"/>
      <c r="L184" s="4"/>
    </row>
    <row r="185" spans="1:12" ht="29.25" customHeight="1">
      <c r="A185" s="4"/>
      <c r="B185" s="33" t="s">
        <v>437</v>
      </c>
      <c r="C185" s="450">
        <f>'Input use - economics'!G50</f>
        <v>4.21875</v>
      </c>
      <c r="D185" s="33" t="str">
        <f>'Input use - economics'!H50</f>
        <v>Euro/kg detergent</v>
      </c>
      <c r="E185" s="33" t="s">
        <v>577</v>
      </c>
      <c r="F185" s="33" t="str">
        <f t="shared" si="18"/>
        <v>Medium quality</v>
      </c>
      <c r="G185" s="685" t="s">
        <v>578</v>
      </c>
      <c r="H185" s="685" t="s">
        <v>592</v>
      </c>
      <c r="I185" s="33" t="s">
        <v>576</v>
      </c>
      <c r="J185" s="108"/>
      <c r="K185" s="109"/>
      <c r="L185" s="4"/>
    </row>
    <row r="186" spans="1:12" ht="28">
      <c r="A186" s="4"/>
      <c r="B186" s="33" t="s">
        <v>439</v>
      </c>
      <c r="C186" s="450">
        <f>'Input use - economics'!G51</f>
        <v>3.9266666666666667</v>
      </c>
      <c r="D186" s="33" t="str">
        <f>'Input use - economics'!H51</f>
        <v>Euro/kg rinsing agent</v>
      </c>
      <c r="E186" s="33" t="s">
        <v>577</v>
      </c>
      <c r="F186" s="33" t="str">
        <f t="shared" si="18"/>
        <v>Medium quality</v>
      </c>
      <c r="G186" s="686"/>
      <c r="H186" s="686"/>
      <c r="I186" s="33" t="s">
        <v>576</v>
      </c>
      <c r="J186" s="108"/>
      <c r="K186" s="109"/>
      <c r="L186" s="4"/>
    </row>
    <row r="187" spans="1:12" ht="14.5" thickBot="1">
      <c r="A187" s="4"/>
      <c r="B187" s="37" t="s">
        <v>441</v>
      </c>
      <c r="C187" s="278">
        <f>'Input use - economics'!G52</f>
        <v>0</v>
      </c>
      <c r="D187" s="37">
        <f>'Input use - economics'!H52</f>
        <v>0</v>
      </c>
      <c r="E187" s="37"/>
      <c r="F187" s="37" t="str">
        <f t="shared" si="18"/>
        <v/>
      </c>
      <c r="G187" s="37"/>
      <c r="H187" s="37"/>
      <c r="I187" s="33" t="s">
        <v>576</v>
      </c>
      <c r="J187" s="105"/>
      <c r="K187" s="106"/>
      <c r="L187" s="4"/>
    </row>
    <row r="189" spans="1:12" ht="14.5" thickBot="1"/>
    <row r="190" spans="1:12" ht="28.5" thickBot="1">
      <c r="B190" s="86" t="s">
        <v>593</v>
      </c>
      <c r="C190" s="86" t="s">
        <v>594</v>
      </c>
      <c r="D190" s="86" t="s">
        <v>595</v>
      </c>
      <c r="E190" s="86" t="s">
        <v>596</v>
      </c>
      <c r="F190" s="86" t="s">
        <v>597</v>
      </c>
      <c r="G190" s="86" t="s">
        <v>508</v>
      </c>
    </row>
    <row r="191" spans="1:12" ht="28">
      <c r="B191" s="464" t="s">
        <v>598</v>
      </c>
      <c r="C191" s="465">
        <v>2.1534784789184247E-2</v>
      </c>
      <c r="D191" s="466">
        <f>C148*C149/1.05</f>
        <v>298.57381714285708</v>
      </c>
      <c r="E191" s="466">
        <f>D191*C178*3.6</f>
        <v>25.234730504800453</v>
      </c>
      <c r="F191" s="467">
        <f>E191/$E$195</f>
        <v>4.7906795477604819E-3</v>
      </c>
      <c r="G191" s="468" t="s">
        <v>599</v>
      </c>
    </row>
    <row r="192" spans="1:12">
      <c r="B192" s="469" t="s">
        <v>367</v>
      </c>
      <c r="C192" s="460">
        <v>1.6197846857569271E-2</v>
      </c>
      <c r="D192" s="462">
        <f>C141*C142</f>
        <v>14065.7</v>
      </c>
      <c r="E192" s="462">
        <f>D192*C179</f>
        <v>3616.2914700000001</v>
      </c>
      <c r="F192" s="463">
        <f t="shared" ref="F192:F194" si="19">E192/$E$195</f>
        <v>0.68653372703045179</v>
      </c>
      <c r="G192" s="470"/>
    </row>
    <row r="193" spans="2:7">
      <c r="B193" s="469" t="s">
        <v>107</v>
      </c>
      <c r="C193" s="460">
        <v>1.6220772190373989E-3</v>
      </c>
      <c r="D193" s="462">
        <f>C125</f>
        <v>154977</v>
      </c>
      <c r="E193" s="462">
        <f>C156*C180</f>
        <v>296.00607000000002</v>
      </c>
      <c r="F193" s="463">
        <f t="shared" si="19"/>
        <v>5.6195180102763344E-2</v>
      </c>
      <c r="G193" s="470"/>
    </row>
    <row r="194" spans="2:7">
      <c r="B194" s="469" t="s">
        <v>41</v>
      </c>
      <c r="C194" s="460">
        <v>1.2097198247907004E-2</v>
      </c>
      <c r="D194" s="462">
        <f>C132</f>
        <v>315.24299999999999</v>
      </c>
      <c r="E194" s="462">
        <f>D194*C185</f>
        <v>1329.93140625</v>
      </c>
      <c r="F194" s="463">
        <f t="shared" si="19"/>
        <v>0.25248041331902438</v>
      </c>
      <c r="G194" s="470"/>
    </row>
    <row r="195" spans="2:7" ht="14.5" thickBot="1">
      <c r="B195" s="471"/>
      <c r="C195" s="472"/>
      <c r="D195" s="473"/>
      <c r="E195" s="473">
        <f>SUM(E191:E194)</f>
        <v>5267.4636767548009</v>
      </c>
      <c r="F195" s="474">
        <f>SUM(F191:F194)</f>
        <v>1</v>
      </c>
      <c r="G195" s="475"/>
    </row>
    <row r="196" spans="2:7" ht="14.5" thickBot="1">
      <c r="B196" s="476" t="s">
        <v>600</v>
      </c>
      <c r="C196" s="477">
        <f>(F191*C191)+(F192*C192)+(F193*C193)+(F194*C194)</f>
        <v>1.4368992961148625E-2</v>
      </c>
      <c r="D196" s="461"/>
      <c r="E196" s="461"/>
      <c r="F196" s="461"/>
      <c r="G196" s="14"/>
    </row>
  </sheetData>
  <mergeCells count="28">
    <mergeCell ref="F113:G113"/>
    <mergeCell ref="B6:I6"/>
    <mergeCell ref="C7:I7"/>
    <mergeCell ref="C8:I8"/>
    <mergeCell ref="C9:I9"/>
    <mergeCell ref="C10:I10"/>
    <mergeCell ref="B110:B112"/>
    <mergeCell ref="F110:G110"/>
    <mergeCell ref="F111:G111"/>
    <mergeCell ref="F112:G112"/>
    <mergeCell ref="G85:G86"/>
    <mergeCell ref="H85:H86"/>
    <mergeCell ref="G185:G186"/>
    <mergeCell ref="H185:H186"/>
    <mergeCell ref="E74:E76"/>
    <mergeCell ref="F74:F76"/>
    <mergeCell ref="G74:G76"/>
    <mergeCell ref="H74:H76"/>
    <mergeCell ref="E77:E82"/>
    <mergeCell ref="F77:F82"/>
    <mergeCell ref="H77:H82"/>
    <mergeCell ref="G78:G82"/>
    <mergeCell ref="E83:E84"/>
    <mergeCell ref="F83:F84"/>
    <mergeCell ref="G83:G84"/>
    <mergeCell ref="H83:H84"/>
    <mergeCell ref="E85:E86"/>
    <mergeCell ref="F85:F86"/>
  </mergeCells>
  <phoneticPr fontId="15" type="noConversion"/>
  <conditionalFormatting sqref="H17:H41">
    <cfRule type="expression" dxfId="7" priority="20">
      <formula>G17="No"</formula>
    </cfRule>
  </conditionalFormatting>
  <conditionalFormatting sqref="H46:H55">
    <cfRule type="expression" dxfId="6" priority="19">
      <formula>G46="No"</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D7C6EE6-A681-4855-92E1-DAFE9160B8AC}">
          <x14:formula1>
            <xm:f>Lists!$F$2:$F$7</xm:f>
          </x14:formula1>
          <xm:sqref>E141:E146 I46:I55 E164:E165 E158:E162 E148:E152 E154:E156 E171:E172 E174:E187 E94:E95 E99:E100 E104:E105 E68:E71 E64:E65 I17:I41 E121:E135</xm:sqref>
        </x14:dataValidation>
        <x14:dataValidation type="list" allowBlank="1" showInputMessage="1" showErrorMessage="1" xr:uid="{CBD40087-ADA4-4E8A-A791-FBBA736AED61}">
          <x14:formula1>
            <xm:f>Lists!$B$2:$B$3</xm:f>
          </x14:formula1>
          <xm:sqref>G46:G55 G17:G41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F8D67-369F-4255-9E26-F8F6563D22AD}">
  <sheetPr>
    <tabColor theme="5"/>
  </sheetPr>
  <dimension ref="A1:P68"/>
  <sheetViews>
    <sheetView zoomScale="90" zoomScaleNormal="90" workbookViewId="0">
      <selection activeCell="B2" sqref="B2"/>
    </sheetView>
  </sheetViews>
  <sheetFormatPr baseColWidth="10" defaultColWidth="8.75" defaultRowHeight="14"/>
  <cols>
    <col min="1" max="1" width="5" style="3" customWidth="1"/>
    <col min="2" max="2" width="38.33203125" style="3" customWidth="1"/>
    <col min="3" max="3" width="12.25" style="3" customWidth="1"/>
    <col min="4" max="4" width="9.75" style="3" customWidth="1"/>
    <col min="5" max="5" width="22.75" style="3" customWidth="1"/>
    <col min="6" max="12" width="20.6640625" style="579" customWidth="1"/>
    <col min="13" max="13" width="24.25" style="3" customWidth="1"/>
    <col min="14" max="14" width="18.75" style="3" customWidth="1"/>
    <col min="15" max="15" width="26.83203125" style="3" customWidth="1"/>
    <col min="16" max="16" width="102.83203125" style="3" customWidth="1"/>
    <col min="17" max="17" width="101.4140625" style="3" customWidth="1"/>
    <col min="18" max="16384" width="8.75" style="3"/>
  </cols>
  <sheetData>
    <row r="1" spans="2:12" ht="23.5">
      <c r="B1" s="6" t="s">
        <v>681</v>
      </c>
      <c r="C1"/>
    </row>
    <row r="2" spans="2:12" ht="18.5">
      <c r="B2" s="618" t="s">
        <v>674</v>
      </c>
      <c r="C2"/>
    </row>
    <row r="3" spans="2:12" ht="18.5">
      <c r="B3" s="618"/>
      <c r="C3"/>
    </row>
    <row r="4" spans="2:12" ht="21">
      <c r="B4" s="619" t="s">
        <v>675</v>
      </c>
      <c r="C4" s="54"/>
      <c r="D4" s="54"/>
      <c r="E4" s="53"/>
      <c r="F4" s="619"/>
    </row>
    <row r="5" spans="2:12" s="567" customFormat="1" ht="16">
      <c r="B5" s="684" t="s">
        <v>680</v>
      </c>
      <c r="C5" s="684"/>
      <c r="D5" s="684"/>
      <c r="E5" s="684"/>
      <c r="F5" s="620"/>
      <c r="G5" s="620"/>
      <c r="H5" s="620"/>
      <c r="I5" s="620"/>
      <c r="J5" s="620"/>
      <c r="K5" s="620"/>
      <c r="L5" s="620"/>
    </row>
    <row r="6" spans="2:12" ht="24" thickBot="1">
      <c r="B6" s="6"/>
      <c r="C6"/>
      <c r="F6" s="621" t="s">
        <v>646</v>
      </c>
      <c r="G6" s="621" t="s">
        <v>653</v>
      </c>
      <c r="H6" s="621" t="s">
        <v>654</v>
      </c>
      <c r="I6" s="621" t="s">
        <v>655</v>
      </c>
      <c r="J6" s="621" t="s">
        <v>656</v>
      </c>
      <c r="K6" s="621" t="s">
        <v>657</v>
      </c>
      <c r="L6" s="621" t="s">
        <v>683</v>
      </c>
    </row>
    <row r="7" spans="2:12" ht="59" thickBot="1">
      <c r="B7" s="6"/>
      <c r="C7"/>
      <c r="E7" s="631" t="s">
        <v>676</v>
      </c>
      <c r="F7" s="587" t="str">
        <f>F19</f>
        <v>Exhaust heat recovery (regenerator)</v>
      </c>
      <c r="G7" s="588" t="str">
        <f t="shared" ref="G7:L7" si="0">G19</f>
        <v>Exhaust air heat pump</v>
      </c>
      <c r="H7" s="588" t="str">
        <f t="shared" si="0"/>
        <v>Automatic programme for load and soil recognition</v>
      </c>
      <c r="I7" s="588" t="str">
        <f t="shared" si="0"/>
        <v xml:space="preserve">Improved thermal insulation (double-walled design) </v>
      </c>
      <c r="J7" s="588" t="str">
        <f t="shared" si="0"/>
        <v>Further substitution  of metals by polymers</v>
      </c>
      <c r="K7" s="588" t="str">
        <f t="shared" si="0"/>
        <v>Modular design and reuse of electronics</v>
      </c>
      <c r="L7" s="589" t="str">
        <f t="shared" si="0"/>
        <v xml:space="preserve">Other relevant design option (stakeholder input)
</v>
      </c>
    </row>
    <row r="8" spans="2:12" ht="23.5">
      <c r="B8" s="6"/>
      <c r="C8" s="585" t="str">
        <f>F19</f>
        <v>Exhaust heat recovery (regenerator)</v>
      </c>
      <c r="D8" s="569" t="s">
        <v>647</v>
      </c>
      <c r="E8" s="632"/>
      <c r="F8" s="635" t="s">
        <v>412</v>
      </c>
      <c r="G8" s="635"/>
      <c r="H8" s="635"/>
      <c r="I8" s="635"/>
      <c r="J8" s="635"/>
      <c r="K8" s="635"/>
      <c r="L8" s="636"/>
    </row>
    <row r="9" spans="2:12" ht="23.5">
      <c r="B9" s="6"/>
      <c r="C9" s="585" t="str">
        <f>G19</f>
        <v>Exhaust air heat pump</v>
      </c>
      <c r="D9" s="569" t="s">
        <v>648</v>
      </c>
      <c r="E9" s="633"/>
      <c r="F9" s="612"/>
      <c r="G9" s="586" t="s">
        <v>412</v>
      </c>
      <c r="H9" s="586"/>
      <c r="I9" s="586"/>
      <c r="J9" s="586"/>
      <c r="K9" s="586"/>
      <c r="L9" s="590"/>
    </row>
    <row r="10" spans="2:12" ht="23.5">
      <c r="B10" s="6"/>
      <c r="C10" s="585" t="str">
        <f>H19</f>
        <v>Automatic programme for load and soil recognition</v>
      </c>
      <c r="D10" s="569" t="s">
        <v>649</v>
      </c>
      <c r="E10" s="633"/>
      <c r="F10" s="612"/>
      <c r="G10" s="612"/>
      <c r="H10" s="586" t="s">
        <v>412</v>
      </c>
      <c r="I10" s="586"/>
      <c r="J10" s="586"/>
      <c r="K10" s="586"/>
      <c r="L10" s="590"/>
    </row>
    <row r="11" spans="2:12" ht="23.5">
      <c r="B11" s="6"/>
      <c r="C11" s="585" t="str">
        <f>I19</f>
        <v xml:space="preserve">Improved thermal insulation (double-walled design) </v>
      </c>
      <c r="D11" s="569" t="s">
        <v>650</v>
      </c>
      <c r="E11" s="633"/>
      <c r="F11" s="612"/>
      <c r="G11" s="612"/>
      <c r="H11" s="612"/>
      <c r="I11" s="586" t="s">
        <v>412</v>
      </c>
      <c r="J11" s="586"/>
      <c r="K11" s="586"/>
      <c r="L11" s="590"/>
    </row>
    <row r="12" spans="2:12" ht="23.5">
      <c r="B12" s="6"/>
      <c r="C12" s="585" t="str">
        <f>J19</f>
        <v>Further substitution  of metals by polymers</v>
      </c>
      <c r="D12" s="569" t="s">
        <v>651</v>
      </c>
      <c r="E12" s="633"/>
      <c r="F12" s="612"/>
      <c r="G12" s="612"/>
      <c r="H12" s="612"/>
      <c r="I12" s="612"/>
      <c r="J12" s="586" t="s">
        <v>412</v>
      </c>
      <c r="K12" s="586"/>
      <c r="L12" s="590"/>
    </row>
    <row r="13" spans="2:12" ht="23.5">
      <c r="B13" s="6"/>
      <c r="C13" s="585" t="str">
        <f>K19</f>
        <v>Modular design and reuse of electronics</v>
      </c>
      <c r="D13" s="569" t="s">
        <v>652</v>
      </c>
      <c r="E13" s="633"/>
      <c r="F13" s="612"/>
      <c r="G13" s="612"/>
      <c r="H13" s="612"/>
      <c r="I13" s="612"/>
      <c r="J13" s="612"/>
      <c r="K13" s="586" t="s">
        <v>412</v>
      </c>
      <c r="L13" s="590"/>
    </row>
    <row r="14" spans="2:12" ht="24" thickBot="1">
      <c r="B14" s="6"/>
      <c r="C14" s="585" t="str">
        <f>L19</f>
        <v xml:space="preserve">Other relevant design option (stakeholder input)
</v>
      </c>
      <c r="D14" s="569" t="s">
        <v>682</v>
      </c>
      <c r="E14" s="634"/>
      <c r="F14" s="613"/>
      <c r="G14" s="613"/>
      <c r="H14" s="613"/>
      <c r="I14" s="613"/>
      <c r="J14" s="613"/>
      <c r="K14" s="613"/>
      <c r="L14" s="591"/>
    </row>
    <row r="15" spans="2:12" ht="24" thickBot="1">
      <c r="B15" s="6"/>
      <c r="C15"/>
      <c r="D15" s="592" t="s">
        <v>661</v>
      </c>
      <c r="E15" s="678"/>
      <c r="F15" s="679"/>
      <c r="G15" s="679"/>
      <c r="H15" s="679"/>
      <c r="I15" s="679"/>
      <c r="J15" s="679"/>
      <c r="K15" s="679"/>
      <c r="L15" s="680"/>
    </row>
    <row r="16" spans="2:12">
      <c r="C16"/>
    </row>
    <row r="17" spans="2:13">
      <c r="C17"/>
    </row>
    <row r="18" spans="2:13" s="554" customFormat="1" ht="28">
      <c r="B18" s="54" t="s">
        <v>630</v>
      </c>
      <c r="C18" s="54"/>
      <c r="D18" s="54"/>
      <c r="E18" s="53"/>
      <c r="F18" s="584" t="s">
        <v>640</v>
      </c>
      <c r="G18" s="584" t="s">
        <v>641</v>
      </c>
      <c r="H18" s="584" t="s">
        <v>642</v>
      </c>
      <c r="I18" s="584" t="s">
        <v>643</v>
      </c>
      <c r="J18" s="584" t="s">
        <v>644</v>
      </c>
      <c r="K18" s="584" t="s">
        <v>645</v>
      </c>
      <c r="L18" s="584" t="s">
        <v>684</v>
      </c>
      <c r="M18" s="594" t="s">
        <v>663</v>
      </c>
    </row>
    <row r="19" spans="2:13" s="14" customFormat="1" ht="56.5" thickBot="1">
      <c r="B19" s="682" t="s">
        <v>678</v>
      </c>
      <c r="C19" s="682"/>
      <c r="D19" s="682"/>
      <c r="E19" s="683"/>
      <c r="F19" s="597" t="str">
        <f>'Design options'!B3</f>
        <v>Exhaust heat recovery (regenerator)</v>
      </c>
      <c r="G19" s="597" t="str">
        <f>'Design options'!B4</f>
        <v>Exhaust air heat pump</v>
      </c>
      <c r="H19" s="597" t="str">
        <f>'Design options'!B5</f>
        <v>Automatic programme for load and soil recognition</v>
      </c>
      <c r="I19" s="597" t="str">
        <f>'Design options'!B6</f>
        <v xml:space="preserve">Improved thermal insulation (double-walled design) </v>
      </c>
      <c r="J19" s="597" t="str">
        <f>'Design options'!B7</f>
        <v>Further substitution  of metals by polymers</v>
      </c>
      <c r="K19" s="597" t="str">
        <f>'Design options'!B8</f>
        <v>Modular design and reuse of electronics</v>
      </c>
      <c r="L19" s="622" t="str">
        <f>'Design options'!B9</f>
        <v xml:space="preserve">Other relevant design option (stakeholder input)
</v>
      </c>
    </row>
    <row r="20" spans="2:13" customFormat="1" ht="28.5" thickBot="1">
      <c r="B20" s="57" t="s">
        <v>304</v>
      </c>
      <c r="C20" s="57" t="s">
        <v>305</v>
      </c>
      <c r="D20" s="57" t="s">
        <v>7</v>
      </c>
      <c r="E20" s="570" t="s">
        <v>503</v>
      </c>
      <c r="F20" s="578" t="s">
        <v>662</v>
      </c>
      <c r="G20" s="578" t="s">
        <v>662</v>
      </c>
      <c r="H20" s="578" t="s">
        <v>662</v>
      </c>
      <c r="I20" s="578" t="s">
        <v>662</v>
      </c>
      <c r="J20" s="578" t="s">
        <v>662</v>
      </c>
      <c r="K20" s="58" t="s">
        <v>662</v>
      </c>
      <c r="L20" s="58" t="s">
        <v>662</v>
      </c>
      <c r="M20" s="58" t="s">
        <v>662</v>
      </c>
    </row>
    <row r="21" spans="2:13" customFormat="1">
      <c r="B21" s="31" t="s">
        <v>259</v>
      </c>
      <c r="C21" s="61">
        <v>165</v>
      </c>
      <c r="D21" s="556" t="s">
        <v>309</v>
      </c>
      <c r="E21" s="571">
        <v>1</v>
      </c>
      <c r="F21" s="627"/>
      <c r="G21" s="627"/>
      <c r="H21" s="627"/>
      <c r="I21" s="627"/>
      <c r="J21" s="627"/>
      <c r="K21" s="627"/>
      <c r="L21" s="627"/>
      <c r="M21" s="628"/>
    </row>
    <row r="22" spans="2:13" customFormat="1">
      <c r="B22" s="31" t="s">
        <v>313</v>
      </c>
      <c r="C22" s="61">
        <v>3</v>
      </c>
      <c r="D22" s="556" t="s">
        <v>309</v>
      </c>
      <c r="E22" s="572">
        <v>1</v>
      </c>
      <c r="F22" s="614"/>
      <c r="G22" s="614"/>
      <c r="H22" s="614"/>
      <c r="I22" s="614"/>
      <c r="J22" s="614"/>
      <c r="K22" s="614"/>
      <c r="L22" s="614"/>
      <c r="M22" s="624"/>
    </row>
    <row r="23" spans="2:13" customFormat="1">
      <c r="B23" s="31" t="s">
        <v>316</v>
      </c>
      <c r="C23" s="61">
        <v>4</v>
      </c>
      <c r="D23" s="556" t="s">
        <v>309</v>
      </c>
      <c r="E23" s="572">
        <v>1</v>
      </c>
      <c r="F23" s="614"/>
      <c r="G23" s="614"/>
      <c r="H23" s="614"/>
      <c r="I23" s="614"/>
      <c r="J23" s="614"/>
      <c r="K23" s="614"/>
      <c r="L23" s="614"/>
      <c r="M23" s="624"/>
    </row>
    <row r="24" spans="2:13" customFormat="1">
      <c r="B24" s="31" t="s">
        <v>320</v>
      </c>
      <c r="C24" s="61">
        <v>4</v>
      </c>
      <c r="D24" s="556" t="s">
        <v>309</v>
      </c>
      <c r="E24" s="572">
        <v>1</v>
      </c>
      <c r="F24" s="614"/>
      <c r="G24" s="614"/>
      <c r="H24" s="614"/>
      <c r="I24" s="614"/>
      <c r="J24" s="614"/>
      <c r="K24" s="614"/>
      <c r="L24" s="614"/>
      <c r="M24" s="624"/>
    </row>
    <row r="25" spans="2:13" customFormat="1">
      <c r="B25" s="31" t="s">
        <v>319</v>
      </c>
      <c r="C25" s="61">
        <v>0</v>
      </c>
      <c r="D25" s="556" t="s">
        <v>309</v>
      </c>
      <c r="E25" s="572">
        <v>1</v>
      </c>
      <c r="F25" s="614"/>
      <c r="G25" s="614"/>
      <c r="H25" s="614"/>
      <c r="I25" s="614"/>
      <c r="J25" s="614"/>
      <c r="K25" s="614"/>
      <c r="L25" s="614"/>
      <c r="M25" s="624"/>
    </row>
    <row r="26" spans="2:13" customFormat="1">
      <c r="B26" s="31" t="s">
        <v>261</v>
      </c>
      <c r="C26" s="61">
        <v>5</v>
      </c>
      <c r="D26" s="556" t="s">
        <v>309</v>
      </c>
      <c r="E26" s="572">
        <v>1</v>
      </c>
      <c r="F26" s="614"/>
      <c r="G26" s="614"/>
      <c r="H26" s="614"/>
      <c r="I26" s="614"/>
      <c r="J26" s="614"/>
      <c r="K26" s="614"/>
      <c r="L26" s="614"/>
      <c r="M26" s="624"/>
    </row>
    <row r="27" spans="2:13" customFormat="1">
      <c r="B27" s="31" t="s">
        <v>262</v>
      </c>
      <c r="C27" s="61">
        <v>4</v>
      </c>
      <c r="D27" s="556" t="s">
        <v>309</v>
      </c>
      <c r="E27" s="572">
        <v>1</v>
      </c>
      <c r="F27" s="614"/>
      <c r="G27" s="614"/>
      <c r="H27" s="614"/>
      <c r="I27" s="614"/>
      <c r="J27" s="614"/>
      <c r="K27" s="614"/>
      <c r="L27" s="614"/>
      <c r="M27" s="624"/>
    </row>
    <row r="28" spans="2:13" customFormat="1">
      <c r="B28" s="31" t="s">
        <v>263</v>
      </c>
      <c r="C28" s="61">
        <v>3</v>
      </c>
      <c r="D28" s="556" t="s">
        <v>309</v>
      </c>
      <c r="E28" s="572">
        <v>1</v>
      </c>
      <c r="F28" s="614"/>
      <c r="G28" s="614"/>
      <c r="H28" s="614"/>
      <c r="I28" s="614"/>
      <c r="J28" s="614"/>
      <c r="K28" s="614"/>
      <c r="L28" s="614"/>
      <c r="M28" s="624"/>
    </row>
    <row r="29" spans="2:13" customFormat="1">
      <c r="B29" s="31" t="s">
        <v>264</v>
      </c>
      <c r="C29" s="61">
        <v>5</v>
      </c>
      <c r="D29" s="556" t="s">
        <v>309</v>
      </c>
      <c r="E29" s="572">
        <v>1</v>
      </c>
      <c r="F29" s="614"/>
      <c r="G29" s="614"/>
      <c r="H29" s="614"/>
      <c r="I29" s="614"/>
      <c r="J29" s="614"/>
      <c r="K29" s="614"/>
      <c r="L29" s="614"/>
      <c r="M29" s="624"/>
    </row>
    <row r="30" spans="2:13" customFormat="1">
      <c r="B30" s="31" t="s">
        <v>265</v>
      </c>
      <c r="C30" s="61">
        <v>2.4</v>
      </c>
      <c r="D30" s="556" t="s">
        <v>309</v>
      </c>
      <c r="E30" s="572">
        <v>1</v>
      </c>
      <c r="F30" s="614"/>
      <c r="G30" s="614"/>
      <c r="H30" s="614"/>
      <c r="I30" s="614"/>
      <c r="J30" s="614"/>
      <c r="K30" s="614"/>
      <c r="L30" s="614"/>
      <c r="M30" s="624"/>
    </row>
    <row r="31" spans="2:13" customFormat="1">
      <c r="B31" s="31" t="s">
        <v>332</v>
      </c>
      <c r="C31" s="61">
        <v>1.4</v>
      </c>
      <c r="D31" s="556" t="s">
        <v>309</v>
      </c>
      <c r="E31" s="572">
        <v>1</v>
      </c>
      <c r="F31" s="614"/>
      <c r="G31" s="614"/>
      <c r="H31" s="614"/>
      <c r="I31" s="614"/>
      <c r="J31" s="614"/>
      <c r="K31" s="614"/>
      <c r="L31" s="614"/>
      <c r="M31" s="624"/>
    </row>
    <row r="32" spans="2:13" customFormat="1">
      <c r="B32" s="31" t="s">
        <v>335</v>
      </c>
      <c r="C32" s="61">
        <v>1.1000000000000001</v>
      </c>
      <c r="D32" s="556" t="s">
        <v>309</v>
      </c>
      <c r="E32" s="572">
        <v>1</v>
      </c>
      <c r="F32" s="614"/>
      <c r="G32" s="614"/>
      <c r="H32" s="614"/>
      <c r="I32" s="614"/>
      <c r="J32" s="614"/>
      <c r="K32" s="614"/>
      <c r="L32" s="614"/>
      <c r="M32" s="624"/>
    </row>
    <row r="33" spans="2:16" customFormat="1">
      <c r="B33" s="31" t="s">
        <v>338</v>
      </c>
      <c r="C33" s="61">
        <v>0.68181818181818188</v>
      </c>
      <c r="D33" s="556" t="s">
        <v>493</v>
      </c>
      <c r="E33" s="572">
        <v>1</v>
      </c>
      <c r="F33" s="614"/>
      <c r="G33" s="614"/>
      <c r="H33" s="614"/>
      <c r="I33" s="614"/>
      <c r="J33" s="614"/>
      <c r="K33" s="614"/>
      <c r="L33" s="614"/>
      <c r="M33" s="624"/>
    </row>
    <row r="34" spans="2:16" customFormat="1">
      <c r="B34" s="31" t="s">
        <v>343</v>
      </c>
      <c r="C34" s="61">
        <v>6</v>
      </c>
      <c r="D34" s="556" t="s">
        <v>309</v>
      </c>
      <c r="E34" s="572">
        <v>1</v>
      </c>
      <c r="F34" s="614"/>
      <c r="G34" s="614"/>
      <c r="H34" s="614"/>
      <c r="I34" s="614"/>
      <c r="J34" s="614"/>
      <c r="K34" s="614"/>
      <c r="L34" s="614"/>
      <c r="M34" s="624"/>
    </row>
    <row r="35" spans="2:16" customFormat="1">
      <c r="B35" s="31">
        <v>0</v>
      </c>
      <c r="C35" s="61">
        <v>0</v>
      </c>
      <c r="D35" s="556">
        <v>0</v>
      </c>
      <c r="E35" s="572">
        <v>1</v>
      </c>
      <c r="F35" s="614"/>
      <c r="G35" s="614"/>
      <c r="H35" s="614"/>
      <c r="I35" s="614"/>
      <c r="J35" s="614"/>
      <c r="K35" s="614"/>
      <c r="L35" s="614"/>
      <c r="M35" s="624"/>
    </row>
    <row r="36" spans="2:16" customFormat="1">
      <c r="B36" s="31">
        <v>0</v>
      </c>
      <c r="C36" s="61">
        <v>0</v>
      </c>
      <c r="D36" s="556">
        <v>0</v>
      </c>
      <c r="E36" s="572">
        <v>1</v>
      </c>
      <c r="F36" s="614"/>
      <c r="G36" s="614"/>
      <c r="H36" s="614"/>
      <c r="I36" s="614"/>
      <c r="J36" s="614"/>
      <c r="K36" s="614"/>
      <c r="L36" s="614"/>
      <c r="M36" s="624"/>
    </row>
    <row r="37" spans="2:16" customFormat="1">
      <c r="B37" s="31">
        <v>0</v>
      </c>
      <c r="C37" s="61">
        <v>0</v>
      </c>
      <c r="D37" s="556">
        <v>0</v>
      </c>
      <c r="E37" s="572">
        <v>1</v>
      </c>
      <c r="F37" s="614"/>
      <c r="G37" s="614"/>
      <c r="H37" s="614"/>
      <c r="I37" s="614"/>
      <c r="J37" s="614"/>
      <c r="K37" s="614"/>
      <c r="L37" s="614"/>
      <c r="M37" s="624"/>
    </row>
    <row r="38" spans="2:16" customFormat="1">
      <c r="B38" s="31">
        <v>0</v>
      </c>
      <c r="C38" s="61">
        <v>0</v>
      </c>
      <c r="D38" s="556">
        <v>0</v>
      </c>
      <c r="E38" s="572">
        <v>1</v>
      </c>
      <c r="F38" s="614"/>
      <c r="G38" s="614"/>
      <c r="H38" s="614"/>
      <c r="I38" s="614"/>
      <c r="J38" s="614"/>
      <c r="K38" s="614"/>
      <c r="L38" s="614"/>
      <c r="M38" s="624"/>
    </row>
    <row r="39" spans="2:16" customFormat="1">
      <c r="B39" s="31">
        <v>0</v>
      </c>
      <c r="C39" s="61">
        <v>0</v>
      </c>
      <c r="D39" s="556">
        <v>0</v>
      </c>
      <c r="E39" s="572">
        <v>1</v>
      </c>
      <c r="F39" s="614"/>
      <c r="G39" s="614"/>
      <c r="H39" s="614"/>
      <c r="I39" s="614"/>
      <c r="J39" s="614"/>
      <c r="K39" s="614"/>
      <c r="L39" s="614"/>
      <c r="M39" s="624"/>
    </row>
    <row r="40" spans="2:16" s="554" customFormat="1">
      <c r="B40" s="552">
        <v>0</v>
      </c>
      <c r="C40" s="553">
        <v>0</v>
      </c>
      <c r="D40" s="557">
        <v>0</v>
      </c>
      <c r="E40" s="572">
        <v>1</v>
      </c>
      <c r="F40" s="614"/>
      <c r="G40" s="614"/>
      <c r="H40" s="614"/>
      <c r="I40" s="614"/>
      <c r="J40" s="614"/>
      <c r="K40" s="614"/>
      <c r="L40" s="614"/>
      <c r="M40" s="624"/>
    </row>
    <row r="41" spans="2:16" customFormat="1">
      <c r="B41" s="31">
        <v>0</v>
      </c>
      <c r="C41" s="61">
        <v>0</v>
      </c>
      <c r="D41" s="557">
        <v>0</v>
      </c>
      <c r="E41" s="572">
        <v>1</v>
      </c>
      <c r="F41" s="614"/>
      <c r="G41" s="614"/>
      <c r="H41" s="614"/>
      <c r="I41" s="614"/>
      <c r="J41" s="614"/>
      <c r="K41" s="614"/>
      <c r="L41" s="614"/>
      <c r="M41" s="624"/>
    </row>
    <row r="42" spans="2:16" customFormat="1">
      <c r="B42" s="31">
        <v>0</v>
      </c>
      <c r="C42" s="61">
        <v>0</v>
      </c>
      <c r="D42" s="556">
        <v>0</v>
      </c>
      <c r="E42" s="572">
        <v>1</v>
      </c>
      <c r="F42" s="614"/>
      <c r="G42" s="614"/>
      <c r="H42" s="614"/>
      <c r="I42" s="614"/>
      <c r="J42" s="614"/>
      <c r="K42" s="614"/>
      <c r="L42" s="614"/>
      <c r="M42" s="624"/>
    </row>
    <row r="43" spans="2:16" customFormat="1">
      <c r="B43" s="31">
        <v>0</v>
      </c>
      <c r="C43" s="61">
        <v>0</v>
      </c>
      <c r="D43" s="556">
        <v>0</v>
      </c>
      <c r="E43" s="572">
        <v>1</v>
      </c>
      <c r="F43" s="614"/>
      <c r="G43" s="614"/>
      <c r="H43" s="614"/>
      <c r="I43" s="614"/>
      <c r="J43" s="614"/>
      <c r="K43" s="614"/>
      <c r="L43" s="614"/>
      <c r="M43" s="624"/>
    </row>
    <row r="44" spans="2:16" customFormat="1">
      <c r="B44" s="31">
        <v>0</v>
      </c>
      <c r="C44" s="61">
        <v>0</v>
      </c>
      <c r="D44" s="556">
        <v>0</v>
      </c>
      <c r="E44" s="572">
        <v>1</v>
      </c>
      <c r="F44" s="614"/>
      <c r="G44" s="614"/>
      <c r="H44" s="614"/>
      <c r="I44" s="614"/>
      <c r="J44" s="614"/>
      <c r="K44" s="614"/>
      <c r="L44" s="614"/>
      <c r="M44" s="624"/>
    </row>
    <row r="45" spans="2:16" customFormat="1" ht="14.5" thickBot="1">
      <c r="B45" s="68">
        <v>0</v>
      </c>
      <c r="C45" s="69">
        <v>0</v>
      </c>
      <c r="D45" s="559">
        <v>0</v>
      </c>
      <c r="E45" s="573">
        <v>1</v>
      </c>
      <c r="F45" s="629"/>
      <c r="G45" s="629"/>
      <c r="H45" s="629"/>
      <c r="I45" s="629"/>
      <c r="J45" s="629"/>
      <c r="K45" s="629"/>
      <c r="L45" s="629"/>
      <c r="M45" s="630"/>
    </row>
    <row r="46" spans="2:16" customFormat="1" ht="14.5" thickBot="1">
      <c r="B46" s="74" t="s">
        <v>353</v>
      </c>
      <c r="C46" s="75">
        <v>206</v>
      </c>
      <c r="D46" s="211" t="s">
        <v>309</v>
      </c>
      <c r="E46" s="574">
        <v>1</v>
      </c>
      <c r="F46" s="574"/>
      <c r="G46" s="574"/>
      <c r="H46" s="574"/>
      <c r="I46" s="574"/>
      <c r="J46" s="574"/>
      <c r="K46" s="560"/>
      <c r="L46" s="560"/>
      <c r="M46" s="560"/>
    </row>
    <row r="47" spans="2:16" customFormat="1" ht="24" thickBot="1">
      <c r="B47" s="3"/>
      <c r="C47" s="6"/>
      <c r="E47" s="592" t="s">
        <v>661</v>
      </c>
      <c r="F47" s="678"/>
      <c r="G47" s="679"/>
      <c r="H47" s="679"/>
      <c r="I47" s="679"/>
      <c r="J47" s="679"/>
      <c r="K47" s="679"/>
      <c r="L47" s="680"/>
      <c r="M47" s="593"/>
    </row>
    <row r="48" spans="2:16" customFormat="1">
      <c r="B48" s="5"/>
      <c r="C48" s="7"/>
      <c r="D48" s="8"/>
      <c r="E48" s="8"/>
      <c r="F48" s="8"/>
      <c r="G48" s="580"/>
      <c r="H48" s="581"/>
      <c r="I48" s="114"/>
      <c r="J48" s="114"/>
      <c r="K48" s="581"/>
      <c r="L48" s="581"/>
      <c r="M48" s="5"/>
      <c r="N48" s="5"/>
      <c r="O48" s="5"/>
      <c r="P48" s="4"/>
    </row>
    <row r="49" spans="1:16" customFormat="1">
      <c r="B49" s="5"/>
      <c r="C49" s="7"/>
      <c r="D49" s="8"/>
      <c r="E49" s="8"/>
      <c r="F49" s="8"/>
      <c r="G49" s="580"/>
      <c r="H49" s="581"/>
      <c r="I49" s="114"/>
      <c r="J49" s="114"/>
      <c r="K49" s="581"/>
      <c r="L49" s="581"/>
      <c r="M49" s="5"/>
      <c r="N49" s="5"/>
      <c r="O49" s="5"/>
      <c r="P49" s="4"/>
    </row>
    <row r="50" spans="1:16" s="567" customFormat="1" ht="28">
      <c r="B50" s="54" t="s">
        <v>631</v>
      </c>
      <c r="C50" s="99"/>
      <c r="D50" s="54"/>
      <c r="E50" s="54"/>
      <c r="F50" s="584" t="s">
        <v>634</v>
      </c>
      <c r="G50" s="584" t="s">
        <v>635</v>
      </c>
      <c r="H50" s="584" t="s">
        <v>636</v>
      </c>
      <c r="I50" s="584" t="s">
        <v>637</v>
      </c>
      <c r="J50" s="584" t="s">
        <v>638</v>
      </c>
      <c r="K50" s="584" t="s">
        <v>639</v>
      </c>
      <c r="L50" s="584" t="s">
        <v>684</v>
      </c>
      <c r="M50" s="594" t="s">
        <v>663</v>
      </c>
    </row>
    <row r="51" spans="1:16" s="147" customFormat="1" ht="56.5" thickBot="1">
      <c r="B51" s="682" t="s">
        <v>677</v>
      </c>
      <c r="C51" s="682"/>
      <c r="D51" s="682"/>
      <c r="E51" s="683"/>
      <c r="F51" s="595" t="str">
        <f>F19</f>
        <v>Exhaust heat recovery (regenerator)</v>
      </c>
      <c r="G51" s="595" t="str">
        <f t="shared" ref="G51:L51" si="1">G19</f>
        <v>Exhaust air heat pump</v>
      </c>
      <c r="H51" s="595" t="str">
        <f t="shared" si="1"/>
        <v>Automatic programme for load and soil recognition</v>
      </c>
      <c r="I51" s="595" t="str">
        <f t="shared" si="1"/>
        <v xml:space="preserve">Improved thermal insulation (double-walled design) </v>
      </c>
      <c r="J51" s="595" t="str">
        <f t="shared" si="1"/>
        <v>Further substitution  of metals by polymers</v>
      </c>
      <c r="K51" s="595" t="str">
        <f t="shared" si="1"/>
        <v>Modular design and reuse of electronics</v>
      </c>
      <c r="L51" s="595" t="str">
        <f t="shared" si="1"/>
        <v xml:space="preserve">Other relevant design option (stakeholder input)
</v>
      </c>
      <c r="M51" s="596"/>
    </row>
    <row r="52" spans="1:16" s="114" customFormat="1" ht="28.5" thickBot="1">
      <c r="B52" s="555" t="s">
        <v>667</v>
      </c>
      <c r="C52" s="18" t="s">
        <v>305</v>
      </c>
      <c r="D52" s="18" t="s">
        <v>7</v>
      </c>
      <c r="E52" s="575" t="s">
        <v>503</v>
      </c>
      <c r="F52" s="578" t="s">
        <v>662</v>
      </c>
      <c r="G52" s="578" t="s">
        <v>662</v>
      </c>
      <c r="H52" s="578" t="s">
        <v>662</v>
      </c>
      <c r="I52" s="578" t="s">
        <v>662</v>
      </c>
      <c r="J52" s="578" t="s">
        <v>662</v>
      </c>
      <c r="K52" s="58" t="s">
        <v>662</v>
      </c>
      <c r="L52" s="58" t="s">
        <v>662</v>
      </c>
      <c r="M52" s="58" t="s">
        <v>662</v>
      </c>
    </row>
    <row r="53" spans="1:16" s="114" customFormat="1">
      <c r="B53" s="30"/>
      <c r="C53" s="565"/>
      <c r="D53" s="566"/>
      <c r="E53" s="571"/>
      <c r="F53" s="639"/>
      <c r="G53" s="640"/>
      <c r="H53" s="640"/>
      <c r="I53" s="640"/>
      <c r="J53" s="640"/>
      <c r="K53" s="640"/>
      <c r="L53" s="640"/>
      <c r="M53" s="637"/>
    </row>
    <row r="54" spans="1:16">
      <c r="B54" s="30" t="s">
        <v>626</v>
      </c>
      <c r="C54" s="600">
        <v>1.35</v>
      </c>
      <c r="D54" s="602" t="s">
        <v>670</v>
      </c>
      <c r="E54" s="571">
        <v>1</v>
      </c>
      <c r="F54" s="611"/>
      <c r="G54" s="612"/>
      <c r="H54" s="612"/>
      <c r="I54" s="612"/>
      <c r="J54" s="612"/>
      <c r="K54" s="612"/>
      <c r="L54" s="612"/>
      <c r="M54" s="624"/>
    </row>
    <row r="55" spans="1:16" s="4" customFormat="1">
      <c r="B55" s="458" t="s">
        <v>627</v>
      </c>
      <c r="C55" s="604">
        <v>13</v>
      </c>
      <c r="D55" s="603" t="s">
        <v>671</v>
      </c>
      <c r="E55" s="572">
        <v>1</v>
      </c>
      <c r="F55" s="641"/>
      <c r="G55" s="615"/>
      <c r="H55" s="615"/>
      <c r="I55" s="615"/>
      <c r="J55" s="615"/>
      <c r="K55" s="615"/>
      <c r="L55" s="615"/>
      <c r="M55" s="624"/>
    </row>
    <row r="56" spans="1:16" s="4" customFormat="1">
      <c r="B56" s="458" t="s">
        <v>629</v>
      </c>
      <c r="C56" s="605">
        <v>36</v>
      </c>
      <c r="D56" s="603" t="s">
        <v>672</v>
      </c>
      <c r="E56" s="572">
        <v>1</v>
      </c>
      <c r="F56" s="641"/>
      <c r="G56" s="615"/>
      <c r="H56" s="615"/>
      <c r="I56" s="615"/>
      <c r="J56" s="615"/>
      <c r="K56" s="615"/>
      <c r="L56" s="615"/>
      <c r="M56" s="624"/>
    </row>
    <row r="57" spans="1:16" s="4" customFormat="1" ht="14.5" thickBot="1">
      <c r="B57" s="458" t="s">
        <v>628</v>
      </c>
      <c r="C57" s="605">
        <v>2</v>
      </c>
      <c r="D57" s="603" t="s">
        <v>672</v>
      </c>
      <c r="E57" s="572">
        <v>1</v>
      </c>
      <c r="F57" s="642"/>
      <c r="G57" s="643"/>
      <c r="H57" s="643"/>
      <c r="I57" s="643"/>
      <c r="J57" s="643"/>
      <c r="K57" s="643"/>
      <c r="L57" s="643"/>
      <c r="M57" s="638"/>
    </row>
    <row r="58" spans="1:16" customFormat="1" ht="89.5" thickBot="1">
      <c r="B58" s="601" t="s">
        <v>668</v>
      </c>
      <c r="C58" s="6"/>
      <c r="E58" s="592" t="s">
        <v>661</v>
      </c>
      <c r="F58" s="678"/>
      <c r="G58" s="679"/>
      <c r="H58" s="679"/>
      <c r="I58" s="679"/>
      <c r="J58" s="679"/>
      <c r="K58" s="679"/>
      <c r="L58" s="680"/>
      <c r="M58" s="593"/>
    </row>
    <row r="61" spans="1:16" s="567" customFormat="1" ht="28">
      <c r="A61" s="568"/>
      <c r="B61" s="576" t="s">
        <v>632</v>
      </c>
      <c r="C61" s="577"/>
      <c r="D61" s="576"/>
      <c r="E61" s="577"/>
      <c r="F61" s="584" t="s">
        <v>634</v>
      </c>
      <c r="G61" s="584" t="s">
        <v>635</v>
      </c>
      <c r="H61" s="584" t="s">
        <v>636</v>
      </c>
      <c r="I61" s="584" t="s">
        <v>637</v>
      </c>
      <c r="J61" s="584" t="s">
        <v>638</v>
      </c>
      <c r="K61" s="584" t="s">
        <v>639</v>
      </c>
      <c r="L61" s="584" t="s">
        <v>684</v>
      </c>
      <c r="M61" s="594" t="s">
        <v>663</v>
      </c>
    </row>
    <row r="62" spans="1:16" s="147" customFormat="1" ht="56.5" thickBot="1">
      <c r="B62" s="682" t="s">
        <v>679</v>
      </c>
      <c r="C62" s="682"/>
      <c r="D62" s="682"/>
      <c r="E62" s="683"/>
      <c r="F62" s="595" t="str">
        <f>F19</f>
        <v>Exhaust heat recovery (regenerator)</v>
      </c>
      <c r="G62" s="595" t="str">
        <f t="shared" ref="G62:L62" si="2">G19</f>
        <v>Exhaust air heat pump</v>
      </c>
      <c r="H62" s="595" t="str">
        <f t="shared" si="2"/>
        <v>Automatic programme for load and soil recognition</v>
      </c>
      <c r="I62" s="595" t="str">
        <f t="shared" si="2"/>
        <v xml:space="preserve">Improved thermal insulation (double-walled design) </v>
      </c>
      <c r="J62" s="595" t="str">
        <f t="shared" si="2"/>
        <v>Further substitution  of metals by polymers</v>
      </c>
      <c r="K62" s="595" t="str">
        <f t="shared" si="2"/>
        <v>Modular design and reuse of electronics</v>
      </c>
      <c r="L62" s="595" t="str">
        <f t="shared" si="2"/>
        <v xml:space="preserve">Other relevant design option (stakeholder input)
</v>
      </c>
      <c r="M62" s="596"/>
    </row>
    <row r="63" spans="1:16" ht="28.5" thickBot="1">
      <c r="B63" s="561" t="s">
        <v>573</v>
      </c>
      <c r="C63" s="562" t="s">
        <v>305</v>
      </c>
      <c r="D63" s="561" t="s">
        <v>7</v>
      </c>
      <c r="E63" s="575" t="s">
        <v>503</v>
      </c>
      <c r="F63" s="578" t="s">
        <v>662</v>
      </c>
      <c r="G63" s="578" t="s">
        <v>662</v>
      </c>
      <c r="H63" s="578" t="s">
        <v>662</v>
      </c>
      <c r="I63" s="578" t="s">
        <v>662</v>
      </c>
      <c r="J63" s="578" t="s">
        <v>662</v>
      </c>
      <c r="K63" s="58" t="s">
        <v>662</v>
      </c>
      <c r="L63" s="58" t="s">
        <v>662</v>
      </c>
      <c r="M63" s="58" t="s">
        <v>662</v>
      </c>
    </row>
    <row r="64" spans="1:16">
      <c r="A64" s="4"/>
      <c r="B64" s="47" t="s">
        <v>416</v>
      </c>
      <c r="C64" s="273">
        <v>9</v>
      </c>
      <c r="D64" s="47" t="str">
        <f>'Input use - economics'!D36</f>
        <v>years</v>
      </c>
      <c r="E64" s="571">
        <v>1</v>
      </c>
      <c r="F64" s="612"/>
      <c r="G64" s="612"/>
      <c r="H64" s="612"/>
      <c r="I64" s="612"/>
      <c r="J64" s="612"/>
      <c r="K64" s="612"/>
      <c r="L64" s="623"/>
      <c r="M64" s="616"/>
    </row>
    <row r="65" spans="1:13" ht="14.5" thickBot="1">
      <c r="A65" s="4"/>
      <c r="B65" s="33" t="s">
        <v>422</v>
      </c>
      <c r="C65" s="452">
        <v>10854.998333333333</v>
      </c>
      <c r="D65" s="33" t="str">
        <f>'Input use - economics'!D40</f>
        <v>Euro/unit</v>
      </c>
      <c r="E65" s="571">
        <v>1</v>
      </c>
      <c r="F65" s="644"/>
      <c r="G65" s="644"/>
      <c r="H65" s="644"/>
      <c r="I65" s="644"/>
      <c r="J65" s="644"/>
      <c r="K65" s="644"/>
      <c r="L65" s="645"/>
      <c r="M65" s="617"/>
    </row>
    <row r="66" spans="1:13" customFormat="1" ht="24" thickBot="1">
      <c r="B66" s="3"/>
      <c r="C66" s="6"/>
      <c r="E66" s="592" t="s">
        <v>661</v>
      </c>
      <c r="F66" s="678"/>
      <c r="G66" s="679"/>
      <c r="H66" s="679"/>
      <c r="I66" s="679"/>
      <c r="J66" s="679"/>
      <c r="K66" s="679"/>
      <c r="L66" s="680"/>
      <c r="M66" s="593"/>
    </row>
    <row r="68" spans="1:13">
      <c r="C68"/>
      <c r="D68" s="461"/>
      <c r="E68" s="461"/>
      <c r="F68" s="582"/>
      <c r="G68" s="583"/>
    </row>
  </sheetData>
  <mergeCells count="8">
    <mergeCell ref="F66:L66"/>
    <mergeCell ref="B5:E5"/>
    <mergeCell ref="B19:E19"/>
    <mergeCell ref="B51:E51"/>
    <mergeCell ref="B62:E62"/>
    <mergeCell ref="E15:L15"/>
    <mergeCell ref="F47:L47"/>
    <mergeCell ref="F58:L58"/>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2BF6F8A-851F-4C19-8851-53FC9710C49C}">
          <x14:formula1>
            <xm:f>Lists!$B$10:$B$12</xm:f>
          </x14:formula1>
          <xm:sqref>F9:F14 G10:G14 H11:H14 I12:I14 J13:J14 K14</xm:sqref>
        </x14:dataValidation>
        <x14:dataValidation type="list" allowBlank="1" showInputMessage="1" showErrorMessage="1" xr:uid="{B6CA0994-1076-4875-AE50-2C59908C9C10}">
          <x14:formula1>
            <xm:f>Lists!$B$2:$B$3</xm:f>
          </x14:formula1>
          <xm:sqref>E8:E14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85AB0-96CD-4E05-90A7-8075C9B5CFBE}">
  <sheetPr>
    <tabColor theme="5"/>
  </sheetPr>
  <dimension ref="A1:P195"/>
  <sheetViews>
    <sheetView topLeftCell="A151" zoomScale="80" zoomScaleNormal="80" workbookViewId="0">
      <selection activeCell="C174" sqref="C174"/>
    </sheetView>
  </sheetViews>
  <sheetFormatPr baseColWidth="10" defaultColWidth="8.75" defaultRowHeight="14"/>
  <cols>
    <col min="1" max="1" width="5" style="3" customWidth="1"/>
    <col min="2" max="2" width="46.25" style="3" customWidth="1"/>
    <col min="3" max="3" width="12.25" style="3" customWidth="1"/>
    <col min="4" max="4" width="15.1640625" style="3" bestFit="1" customWidth="1"/>
    <col min="5" max="5" width="17.25" style="3" customWidth="1"/>
    <col min="6" max="6" width="22.5" style="3" customWidth="1"/>
    <col min="7" max="7" width="32.1640625" style="3" customWidth="1"/>
    <col min="8" max="8" width="43.4140625" style="3" customWidth="1"/>
    <col min="9" max="9" width="17.5" style="3" customWidth="1"/>
    <col min="10" max="10" width="45.75" style="3" customWidth="1"/>
    <col min="11" max="11" width="24.5" style="3" customWidth="1"/>
    <col min="12" max="12" width="24.25" style="3" customWidth="1"/>
    <col min="13" max="13" width="18.75" style="3" customWidth="1"/>
    <col min="14" max="14" width="26.83203125" style="3" customWidth="1"/>
    <col min="15" max="15" width="102.83203125" style="3" customWidth="1"/>
    <col min="16" max="16" width="106.5" style="3" customWidth="1"/>
    <col min="17" max="16384" width="8.75" style="3"/>
  </cols>
  <sheetData>
    <row r="1" spans="2:16" ht="23.5">
      <c r="B1" s="6" t="s">
        <v>443</v>
      </c>
      <c r="C1"/>
    </row>
    <row r="2" spans="2:16">
      <c r="B2" s="15" t="s">
        <v>444</v>
      </c>
      <c r="C2"/>
    </row>
    <row r="3" spans="2:16">
      <c r="B3" s="16" t="s">
        <v>445</v>
      </c>
      <c r="C3"/>
    </row>
    <row r="4" spans="2:16">
      <c r="C4"/>
    </row>
    <row r="5" spans="2:16" ht="14.5" thickBot="1">
      <c r="B5"/>
      <c r="C5"/>
    </row>
    <row r="6" spans="2:16" ht="14.5" thickBot="1">
      <c r="B6" s="693" t="s">
        <v>446</v>
      </c>
      <c r="C6" s="694"/>
      <c r="D6" s="694"/>
      <c r="E6" s="694"/>
      <c r="F6" s="694"/>
      <c r="G6" s="694"/>
      <c r="H6" s="694"/>
      <c r="I6" s="695"/>
    </row>
    <row r="7" spans="2:16" ht="14.5">
      <c r="B7" s="270" t="s">
        <v>447</v>
      </c>
      <c r="C7" s="696" t="str">
        <f>'Input BoM- Manufacturing'!T4</f>
        <v>Base case 4</v>
      </c>
      <c r="D7" s="696"/>
      <c r="E7" s="696"/>
      <c r="F7" s="696"/>
      <c r="G7" s="696"/>
      <c r="H7" s="696"/>
      <c r="I7" s="696"/>
    </row>
    <row r="8" spans="2:16" ht="14.5">
      <c r="B8" s="271" t="s">
        <v>448</v>
      </c>
      <c r="C8" s="697" t="str">
        <f>'Input BoM- Manufacturing'!$T$5</f>
        <v>Utensil / pot dishwashers</v>
      </c>
      <c r="D8" s="697"/>
      <c r="E8" s="697"/>
      <c r="F8" s="697"/>
      <c r="G8" s="697"/>
      <c r="H8" s="697"/>
      <c r="I8" s="697"/>
    </row>
    <row r="9" spans="2:16" ht="14.5">
      <c r="B9" s="173" t="s">
        <v>449</v>
      </c>
      <c r="C9" s="697" t="s">
        <v>450</v>
      </c>
      <c r="D9" s="697"/>
      <c r="E9" s="697"/>
      <c r="F9" s="697"/>
      <c r="G9" s="697"/>
      <c r="H9" s="697"/>
      <c r="I9" s="697"/>
    </row>
    <row r="10" spans="2:16" ht="15" thickBot="1">
      <c r="B10" s="272" t="s">
        <v>451</v>
      </c>
      <c r="C10" s="698" t="s">
        <v>452</v>
      </c>
      <c r="D10" s="698"/>
      <c r="E10" s="698"/>
      <c r="F10" s="698"/>
      <c r="G10" s="698"/>
      <c r="H10" s="698"/>
      <c r="I10" s="698"/>
    </row>
    <row r="12" spans="2:16" s="53" customFormat="1" ht="21">
      <c r="B12" s="54" t="s">
        <v>453</v>
      </c>
      <c r="C12" s="54"/>
      <c r="D12" s="54"/>
      <c r="G12" s="99"/>
    </row>
    <row r="13" spans="2:16" customFormat="1" ht="15.65" customHeight="1">
      <c r="C13" s="1"/>
      <c r="D13" s="1"/>
      <c r="G13" s="3"/>
    </row>
    <row r="14" spans="2:16" customFormat="1" ht="14.5">
      <c r="B14" s="13"/>
      <c r="G14" s="3"/>
    </row>
    <row r="15" spans="2:16" customFormat="1" ht="15" thickBot="1">
      <c r="B15" s="13" t="s">
        <v>601</v>
      </c>
      <c r="D15" s="79" t="s">
        <v>454</v>
      </c>
      <c r="G15" s="3"/>
      <c r="N15" s="13" t="s">
        <v>455</v>
      </c>
    </row>
    <row r="16" spans="2:16" customFormat="1" ht="28.5" thickBot="1">
      <c r="B16" s="57" t="s">
        <v>304</v>
      </c>
      <c r="C16" s="57" t="s">
        <v>305</v>
      </c>
      <c r="D16" s="57" t="s">
        <v>7</v>
      </c>
      <c r="E16" s="57" t="s">
        <v>306</v>
      </c>
      <c r="F16" s="57" t="s">
        <v>307</v>
      </c>
      <c r="G16" s="58" t="s">
        <v>456</v>
      </c>
      <c r="H16" s="58" t="s">
        <v>457</v>
      </c>
      <c r="I16" s="57" t="s">
        <v>458</v>
      </c>
      <c r="J16" s="57" t="s">
        <v>459</v>
      </c>
      <c r="K16" s="57" t="s">
        <v>460</v>
      </c>
      <c r="L16" s="57" t="s">
        <v>461</v>
      </c>
      <c r="M16" s="17" t="s">
        <v>462</v>
      </c>
      <c r="N16" s="40" t="s">
        <v>463</v>
      </c>
      <c r="O16" s="57" t="s">
        <v>464</v>
      </c>
      <c r="P16" s="57" t="s">
        <v>465</v>
      </c>
    </row>
    <row r="17" spans="2:16" customFormat="1" ht="14.5">
      <c r="B17" s="31" t="str">
        <f>'Input BoM- Manufacturing'!T7</f>
        <v>Stainless steel</v>
      </c>
      <c r="C17" s="61">
        <f>'Input BoM- Manufacturing'!U7</f>
        <v>165</v>
      </c>
      <c r="D17" s="208" t="str">
        <f>'Input BoM- Manufacturing'!P7</f>
        <v>kg</v>
      </c>
      <c r="E17" s="59">
        <f>'Input BoM- Manufacturing'!W7</f>
        <v>0.80097087378640774</v>
      </c>
      <c r="F17" s="59" t="str">
        <f>'Input BoM- Manufacturing'!X7</f>
        <v>3-Ferrous</v>
      </c>
      <c r="G17" s="169" t="s">
        <v>466</v>
      </c>
      <c r="H17" s="62" t="str">
        <f>IF(G17="Yes", "Default","")</f>
        <v>Default</v>
      </c>
      <c r="I17" s="33" t="s">
        <v>467</v>
      </c>
      <c r="J17" s="31" t="str">
        <f>IF(I17="Stakeholder input","High quality",IF(I17="Previous study","Medium quality",IF(I17="Literature","Medium quality",IF(I17="Googling","Fair quality",IF(I17="Scientific literature","High quality",IF(I17="Expert judgement","Medium quality",""))))))</f>
        <v>Medium quality</v>
      </c>
      <c r="K17" s="31"/>
      <c r="L17" s="36" t="s">
        <v>496</v>
      </c>
      <c r="M17" s="35"/>
      <c r="N17" s="39"/>
      <c r="O17" s="31" t="s">
        <v>468</v>
      </c>
      <c r="P17" s="31" t="s">
        <v>469</v>
      </c>
    </row>
    <row r="18" spans="2:16" customFormat="1" ht="14.5">
      <c r="B18" s="31" t="str">
        <f>'Input BoM- Manufacturing'!T8</f>
        <v>Polypropylene (PP)</v>
      </c>
      <c r="C18" s="61">
        <f>'Input BoM- Manufacturing'!U8</f>
        <v>3</v>
      </c>
      <c r="D18" s="208" t="str">
        <f>'Input BoM- Manufacturing'!P8</f>
        <v>kg</v>
      </c>
      <c r="E18" s="59">
        <f>'Input BoM- Manufacturing'!W8</f>
        <v>1.4563106796116505E-2</v>
      </c>
      <c r="F18" s="59" t="str">
        <f>'Input BoM- Manufacturing'!X8</f>
        <v>1-BlkPlastics</v>
      </c>
      <c r="G18" s="169"/>
      <c r="H18" s="62" t="str">
        <f t="shared" ref="H18:H40" si="0">IF(G18="Yes", "Default","")</f>
        <v/>
      </c>
      <c r="I18" s="33"/>
      <c r="J18" s="31" t="str">
        <f t="shared" ref="J18:J38" si="1">IF(I18="Stakeholder input","High quality",IF(I18="Previous study","Medium quality",IF(I18="Literature","Medium quality",IF(I18="Googling","Fair quality",IF(I18="Scientific literature","High quality",IF(I18="Expert judgement","Medium quality",""))))))</f>
        <v/>
      </c>
      <c r="K18" s="31"/>
      <c r="L18" s="36"/>
      <c r="M18" s="35"/>
      <c r="N18" s="39"/>
      <c r="O18" s="31" t="s">
        <v>470</v>
      </c>
      <c r="P18" s="31" t="s">
        <v>471</v>
      </c>
    </row>
    <row r="19" spans="2:16" customFormat="1" ht="14.5">
      <c r="B19" s="31" t="str">
        <f>'Input BoM- Manufacturing'!T9</f>
        <v>Polyamide (PA)</v>
      </c>
      <c r="C19" s="61">
        <f>'Input BoM- Manufacturing'!U9</f>
        <v>4</v>
      </c>
      <c r="D19" s="208" t="str">
        <f>'Input BoM- Manufacturing'!P9</f>
        <v>kg</v>
      </c>
      <c r="E19" s="59">
        <f>'Input BoM- Manufacturing'!W9</f>
        <v>1.9417475728155338E-2</v>
      </c>
      <c r="F19" s="59" t="str">
        <f>'Input BoM- Manufacturing'!X9</f>
        <v>2-TecPlastics</v>
      </c>
      <c r="G19" s="169"/>
      <c r="H19" s="62" t="str">
        <f t="shared" si="0"/>
        <v/>
      </c>
      <c r="I19" s="33"/>
      <c r="J19" s="31" t="str">
        <f t="shared" si="1"/>
        <v/>
      </c>
      <c r="K19" s="31" t="s">
        <v>472</v>
      </c>
      <c r="L19" s="36"/>
      <c r="M19" s="35"/>
      <c r="N19" s="39"/>
      <c r="O19" s="31" t="s">
        <v>473</v>
      </c>
      <c r="P19" s="31" t="s">
        <v>474</v>
      </c>
    </row>
    <row r="20" spans="2:16" customFormat="1" ht="14.5">
      <c r="B20" s="31" t="str">
        <f>'Input BoM- Manufacturing'!T10</f>
        <v>Ethylene Propylene Dien M-class rubber (EPDM)</v>
      </c>
      <c r="C20" s="61">
        <f>'Input BoM- Manufacturing'!U10</f>
        <v>4</v>
      </c>
      <c r="D20" s="208" t="str">
        <f>'Input BoM- Manufacturing'!P10</f>
        <v>kg</v>
      </c>
      <c r="E20" s="59">
        <f>'Input BoM- Manufacturing'!W10</f>
        <v>1.9417475728155338E-2</v>
      </c>
      <c r="F20" s="59" t="str">
        <f>'Input BoM- Manufacturing'!X10</f>
        <v>1-BlkPlastics</v>
      </c>
      <c r="G20" s="169"/>
      <c r="H20" s="62" t="str">
        <f t="shared" si="0"/>
        <v/>
      </c>
      <c r="I20" s="33"/>
      <c r="J20" s="31" t="str">
        <f t="shared" si="1"/>
        <v/>
      </c>
      <c r="K20" s="31"/>
      <c r="L20" s="36"/>
      <c r="M20" s="35"/>
      <c r="N20" s="39"/>
      <c r="O20" s="31" t="s">
        <v>476</v>
      </c>
      <c r="P20" s="31" t="s">
        <v>477</v>
      </c>
    </row>
    <row r="21" spans="2:16" customFormat="1" ht="14.5">
      <c r="B21" s="31" t="str">
        <f>'Input BoM- Manufacturing'!T11</f>
        <v>Acrylonitrile Butadiene Styrene (ABS)</v>
      </c>
      <c r="C21" s="61">
        <f>'Input BoM- Manufacturing'!U11</f>
        <v>0</v>
      </c>
      <c r="D21" s="208" t="str">
        <f>'Input BoM- Manufacturing'!P11</f>
        <v>kg</v>
      </c>
      <c r="E21" s="59">
        <f>'Input BoM- Manufacturing'!W11</f>
        <v>0</v>
      </c>
      <c r="F21" s="59" t="str">
        <f>'Input BoM- Manufacturing'!X11</f>
        <v>1-BlkPlastics</v>
      </c>
      <c r="G21" s="169"/>
      <c r="H21" s="62" t="str">
        <f t="shared" si="0"/>
        <v/>
      </c>
      <c r="I21" s="33"/>
      <c r="J21" s="31" t="str">
        <f t="shared" si="1"/>
        <v/>
      </c>
      <c r="K21" s="31"/>
      <c r="L21" s="36"/>
      <c r="M21" s="35"/>
      <c r="N21" s="39"/>
      <c r="O21" s="31" t="s">
        <v>491</v>
      </c>
      <c r="P21" s="31" t="s">
        <v>492</v>
      </c>
    </row>
    <row r="22" spans="2:16" customFormat="1" ht="14.5">
      <c r="B22" s="31" t="str">
        <f>'Input BoM- Manufacturing'!T12</f>
        <v>Pumps (copper)</v>
      </c>
      <c r="C22" s="61">
        <f>'Input BoM- Manufacturing'!U12</f>
        <v>5</v>
      </c>
      <c r="D22" s="208" t="str">
        <f>'Input BoM- Manufacturing'!P12</f>
        <v>kg</v>
      </c>
      <c r="E22" s="59">
        <f>'Input BoM- Manufacturing'!W12</f>
        <v>2.4271844660194174E-2</v>
      </c>
      <c r="F22" s="59" t="str">
        <f>'Input BoM- Manufacturing'!X12</f>
        <v>4-Non-ferrous</v>
      </c>
      <c r="G22" s="169"/>
      <c r="H22" s="62" t="str">
        <f t="shared" si="0"/>
        <v/>
      </c>
      <c r="I22" s="33"/>
      <c r="J22" s="31" t="str">
        <f t="shared" si="1"/>
        <v/>
      </c>
      <c r="K22" s="31" t="s">
        <v>602</v>
      </c>
      <c r="L22" s="36"/>
      <c r="M22" s="35"/>
      <c r="N22" s="39"/>
      <c r="O22" s="31" t="s">
        <v>468</v>
      </c>
      <c r="P22" s="31" t="s">
        <v>469</v>
      </c>
    </row>
    <row r="23" spans="2:16" customFormat="1" ht="14.5">
      <c r="B23" s="31" t="str">
        <f>'Input BoM- Manufacturing'!T13</f>
        <v>Pumps (stack of sheets)</v>
      </c>
      <c r="C23" s="61">
        <f>'Input BoM- Manufacturing'!U13</f>
        <v>4</v>
      </c>
      <c r="D23" s="208" t="str">
        <f>'Input BoM- Manufacturing'!P13</f>
        <v>kg</v>
      </c>
      <c r="E23" s="59">
        <f>'Input BoM- Manufacturing'!W13</f>
        <v>1.9417475728155338E-2</v>
      </c>
      <c r="F23" s="59" t="str">
        <f>'Input BoM- Manufacturing'!X13</f>
        <v>3-Ferrous</v>
      </c>
      <c r="G23" s="169"/>
      <c r="H23" s="62" t="str">
        <f t="shared" si="0"/>
        <v/>
      </c>
      <c r="I23" s="33"/>
      <c r="J23" s="31" t="str">
        <f t="shared" si="1"/>
        <v/>
      </c>
      <c r="K23" s="31"/>
      <c r="L23" s="36"/>
      <c r="M23" s="35"/>
      <c r="N23" s="39"/>
      <c r="O23" s="31" t="s">
        <v>468</v>
      </c>
      <c r="P23" s="31" t="s">
        <v>469</v>
      </c>
    </row>
    <row r="24" spans="2:16" customFormat="1" ht="14.5">
      <c r="B24" s="31" t="str">
        <f>'Input BoM- Manufacturing'!T14</f>
        <v>Pumps (stainless steel wave)</v>
      </c>
      <c r="C24" s="61">
        <f>'Input BoM- Manufacturing'!U14</f>
        <v>3</v>
      </c>
      <c r="D24" s="208" t="str">
        <f>'Input BoM- Manufacturing'!P14</f>
        <v>kg</v>
      </c>
      <c r="E24" s="59">
        <f>'Input BoM- Manufacturing'!W14</f>
        <v>1.4563106796116505E-2</v>
      </c>
      <c r="F24" s="59" t="str">
        <f>'Input BoM- Manufacturing'!X14</f>
        <v>3-Ferrous</v>
      </c>
      <c r="G24" s="169"/>
      <c r="H24" s="62" t="str">
        <f t="shared" si="0"/>
        <v/>
      </c>
      <c r="I24" s="33"/>
      <c r="J24" s="31" t="str">
        <f t="shared" si="1"/>
        <v/>
      </c>
      <c r="K24" s="31"/>
      <c r="L24" s="36"/>
      <c r="M24" s="35"/>
      <c r="N24" s="39"/>
      <c r="O24" s="31" t="s">
        <v>489</v>
      </c>
      <c r="P24" s="31" t="s">
        <v>490</v>
      </c>
    </row>
    <row r="25" spans="2:16" customFormat="1" ht="14.5">
      <c r="B25" s="31" t="str">
        <f>'Input BoM- Manufacturing'!T15</f>
        <v>Pumps (Al)</v>
      </c>
      <c r="C25" s="61">
        <f>'Input BoM- Manufacturing'!U15</f>
        <v>5</v>
      </c>
      <c r="D25" s="208" t="str">
        <f>'Input BoM- Manufacturing'!P15</f>
        <v>kg</v>
      </c>
      <c r="E25" s="59">
        <f>'Input BoM- Manufacturing'!W15</f>
        <v>2.4271844660194174E-2</v>
      </c>
      <c r="F25" s="59" t="str">
        <f>'Input BoM- Manufacturing'!X15</f>
        <v>4-Non-ferrous</v>
      </c>
      <c r="G25" s="169"/>
      <c r="H25" s="62" t="str">
        <f t="shared" si="0"/>
        <v/>
      </c>
      <c r="I25" s="33"/>
      <c r="J25" s="31" t="str">
        <f t="shared" si="1"/>
        <v/>
      </c>
      <c r="K25" s="31"/>
      <c r="L25" s="36"/>
      <c r="M25" s="35"/>
      <c r="N25" s="39"/>
      <c r="O25" s="31" t="s">
        <v>489</v>
      </c>
      <c r="P25" s="31" t="s">
        <v>490</v>
      </c>
    </row>
    <row r="26" spans="2:16" customFormat="1" ht="14.5">
      <c r="B26" s="31" t="str">
        <f>'Input BoM- Manufacturing'!T16</f>
        <v>Cable (copper)</v>
      </c>
      <c r="C26" s="61">
        <f>'Input BoM- Manufacturing'!U16</f>
        <v>2.4</v>
      </c>
      <c r="D26" s="208" t="str">
        <f>'Input BoM- Manufacturing'!P16</f>
        <v>kg</v>
      </c>
      <c r="E26" s="59">
        <f>'Input BoM- Manufacturing'!W16</f>
        <v>1.1650485436893204E-2</v>
      </c>
      <c r="F26" s="59" t="str">
        <f>'Input BoM- Manufacturing'!X16</f>
        <v>4-Non-ferrous</v>
      </c>
      <c r="G26" s="169"/>
      <c r="H26" s="62" t="str">
        <f t="shared" si="0"/>
        <v/>
      </c>
      <c r="I26" s="33"/>
      <c r="J26" s="31" t="str">
        <f t="shared" si="1"/>
        <v/>
      </c>
      <c r="K26" s="31"/>
      <c r="L26" s="36"/>
      <c r="M26" s="35"/>
      <c r="N26" s="39"/>
      <c r="O26" s="31" t="s">
        <v>491</v>
      </c>
      <c r="P26" s="31" t="s">
        <v>492</v>
      </c>
    </row>
    <row r="27" spans="2:16" customFormat="1" ht="14.5">
      <c r="B27" s="31" t="str">
        <f>'Input BoM- Manufacturing'!T17</f>
        <v>Cable sheath (PVC)</v>
      </c>
      <c r="C27" s="61">
        <f>'Input BoM- Manufacturing'!U17</f>
        <v>1.4</v>
      </c>
      <c r="D27" s="208" t="str">
        <f>'Input BoM- Manufacturing'!P17</f>
        <v>kg</v>
      </c>
      <c r="E27" s="59">
        <f>'Input BoM- Manufacturing'!W17</f>
        <v>6.7961165048543689E-3</v>
      </c>
      <c r="F27" s="59" t="str">
        <f>'Input BoM- Manufacturing'!X17</f>
        <v>1-BlkPlastics</v>
      </c>
      <c r="G27" s="169"/>
      <c r="H27" s="62" t="str">
        <f t="shared" si="0"/>
        <v/>
      </c>
      <c r="I27" s="33"/>
      <c r="J27" s="31" t="str">
        <f t="shared" si="1"/>
        <v/>
      </c>
      <c r="K27" s="31"/>
      <c r="L27" s="36"/>
      <c r="M27" s="35"/>
      <c r="N27" s="39"/>
      <c r="O27" s="31" t="s">
        <v>483</v>
      </c>
      <c r="P27" s="31" t="s">
        <v>484</v>
      </c>
    </row>
    <row r="28" spans="2:16" customFormat="1" ht="14.5">
      <c r="B28" s="31" t="str">
        <f>'Input BoM- Manufacturing'!T18</f>
        <v>Cable sheath (silicone, EDPM)</v>
      </c>
      <c r="C28" s="61">
        <f>'Input BoM- Manufacturing'!U18</f>
        <v>1.1000000000000001</v>
      </c>
      <c r="D28" s="208" t="str">
        <f>'Input BoM- Manufacturing'!P18</f>
        <v>kg</v>
      </c>
      <c r="E28" s="59">
        <f>'Input BoM- Manufacturing'!W18</f>
        <v>5.3398058252427192E-3</v>
      </c>
      <c r="F28" s="59" t="str">
        <f>'Input BoM- Manufacturing'!X18</f>
        <v>1-BlkPlastics</v>
      </c>
      <c r="G28" s="169"/>
      <c r="H28" s="62" t="str">
        <f t="shared" si="0"/>
        <v/>
      </c>
      <c r="I28" s="33"/>
      <c r="J28" s="31" t="str">
        <f t="shared" si="1"/>
        <v/>
      </c>
      <c r="K28" s="31"/>
      <c r="L28" s="36"/>
      <c r="M28" s="35"/>
      <c r="N28" s="39"/>
      <c r="O28" s="31" t="s">
        <v>485</v>
      </c>
      <c r="P28" s="31" t="s">
        <v>486</v>
      </c>
    </row>
    <row r="29" spans="2:16" customFormat="1" ht="14.5">
      <c r="B29" s="31" t="str">
        <f>'Input BoM- Manufacturing'!T19</f>
        <v>Electronics (control)</v>
      </c>
      <c r="C29" s="61">
        <f>'Input BoM- Manufacturing'!U19/3.08</f>
        <v>0.68181818181818188</v>
      </c>
      <c r="D29" s="208" t="s">
        <v>493</v>
      </c>
      <c r="E29" s="59">
        <f>'Input BoM- Manufacturing'!W19</f>
        <v>1.0194174757281554E-2</v>
      </c>
      <c r="F29" s="59" t="str">
        <f>'Input BoM- Manufacturing'!X19</f>
        <v>6-Electronics</v>
      </c>
      <c r="G29" s="169"/>
      <c r="H29" s="62" t="str">
        <f>IF(G29="Yes", "Default","")</f>
        <v/>
      </c>
      <c r="I29" s="33"/>
      <c r="J29" s="31" t="str">
        <f>IF(I29="Stakeholder input","High quality",IF(I29="Previous study","Medium quality",IF(I29="Literature","Medium quality",IF(I29="Googling","Fair quality",IF(I29="Scientific literature","High quality",IF(I29="Expert judgement","Medium quality",""))))))</f>
        <v/>
      </c>
      <c r="K29" s="31"/>
      <c r="L29" s="36"/>
      <c r="M29" s="35"/>
      <c r="N29" s="39"/>
      <c r="O29" s="31" t="s">
        <v>485</v>
      </c>
      <c r="P29" s="31" t="s">
        <v>486</v>
      </c>
    </row>
    <row r="30" spans="2:16" customFormat="1" ht="14.5">
      <c r="B30" s="31" t="str">
        <f>'Input BoM- Manufacturing'!T20</f>
        <v>Gaskets, etc. (EDPM)</v>
      </c>
      <c r="C30" s="61">
        <f>'Input BoM- Manufacturing'!U20</f>
        <v>6</v>
      </c>
      <c r="D30" s="208" t="s">
        <v>309</v>
      </c>
      <c r="E30" s="59">
        <f>'Input BoM- Manufacturing'!W20</f>
        <v>2.9126213592233011E-2</v>
      </c>
      <c r="F30" s="59" t="str">
        <f>'Input BoM- Manufacturing'!X20</f>
        <v>1-BlkPlastics</v>
      </c>
      <c r="G30" s="169"/>
      <c r="H30" s="62" t="str">
        <f t="shared" si="0"/>
        <v/>
      </c>
      <c r="I30" s="33"/>
      <c r="J30" s="31" t="str">
        <f t="shared" si="1"/>
        <v/>
      </c>
      <c r="K30" s="31"/>
      <c r="L30" s="36"/>
      <c r="M30" s="35"/>
      <c r="N30" s="39"/>
      <c r="O30" s="31" t="s">
        <v>494</v>
      </c>
      <c r="P30" s="31" t="s">
        <v>495</v>
      </c>
    </row>
    <row r="31" spans="2:16" customFormat="1" ht="14.5">
      <c r="B31" s="31">
        <f>'Input BoM- Manufacturing'!T21</f>
        <v>0</v>
      </c>
      <c r="C31" s="61">
        <f>'Input BoM- Manufacturing'!O21</f>
        <v>0</v>
      </c>
      <c r="D31" s="208">
        <f>'Input BoM- Manufacturing'!P21</f>
        <v>0</v>
      </c>
      <c r="E31" s="59">
        <f>'Input BoM- Manufacturing'!W21</f>
        <v>0</v>
      </c>
      <c r="F31" s="59">
        <f>'Input BoM- Manufacturing'!X21</f>
        <v>0</v>
      </c>
      <c r="G31" s="169"/>
      <c r="H31" s="62" t="str">
        <f t="shared" si="0"/>
        <v/>
      </c>
      <c r="I31" s="33"/>
      <c r="J31" s="31" t="str">
        <f t="shared" si="1"/>
        <v/>
      </c>
      <c r="K31" s="31"/>
      <c r="L31" s="36"/>
      <c r="M31" s="35"/>
      <c r="N31" s="39"/>
      <c r="O31" s="31"/>
      <c r="P31" s="31"/>
    </row>
    <row r="32" spans="2:16" customFormat="1" ht="14.5">
      <c r="B32" s="31">
        <f>'Input BoM- Manufacturing'!T22</f>
        <v>0</v>
      </c>
      <c r="C32" s="61">
        <f>'Input BoM- Manufacturing'!O22</f>
        <v>0</v>
      </c>
      <c r="D32" s="208">
        <f>'Input BoM- Manufacturing'!P22</f>
        <v>0</v>
      </c>
      <c r="E32" s="59">
        <f>'Input BoM- Manufacturing'!W22</f>
        <v>0</v>
      </c>
      <c r="F32" s="59">
        <f>'Input BoM- Manufacturing'!X22</f>
        <v>0</v>
      </c>
      <c r="G32" s="169"/>
      <c r="H32" s="62" t="str">
        <f t="shared" si="0"/>
        <v/>
      </c>
      <c r="I32" s="33"/>
      <c r="J32" s="31" t="str">
        <f t="shared" si="1"/>
        <v/>
      </c>
      <c r="K32" s="31"/>
      <c r="L32" s="36"/>
      <c r="M32" s="35"/>
      <c r="N32" s="39"/>
      <c r="O32" s="31"/>
      <c r="P32" s="31"/>
    </row>
    <row r="33" spans="2:16" customFormat="1" ht="14.5">
      <c r="B33" s="31">
        <f>'Input BoM- Manufacturing'!T23</f>
        <v>0</v>
      </c>
      <c r="C33" s="61">
        <f>'Input BoM- Manufacturing'!O23</f>
        <v>0</v>
      </c>
      <c r="D33" s="208">
        <f>'Input BoM- Manufacturing'!P23</f>
        <v>0</v>
      </c>
      <c r="E33" s="59">
        <f>'Input BoM- Manufacturing'!W23</f>
        <v>0</v>
      </c>
      <c r="F33" s="59">
        <f>'Input BoM- Manufacturing'!X23</f>
        <v>0</v>
      </c>
      <c r="G33" s="169"/>
      <c r="H33" s="62" t="str">
        <f t="shared" si="0"/>
        <v/>
      </c>
      <c r="I33" s="33"/>
      <c r="J33" s="31" t="str">
        <f t="shared" si="1"/>
        <v/>
      </c>
      <c r="K33" s="31"/>
      <c r="L33" s="36"/>
      <c r="M33" s="35"/>
      <c r="N33" s="39"/>
      <c r="O33" s="31"/>
      <c r="P33" s="31"/>
    </row>
    <row r="34" spans="2:16" customFormat="1" ht="14.5">
      <c r="B34" s="31">
        <f>'Input BoM- Manufacturing'!T24</f>
        <v>0</v>
      </c>
      <c r="C34" s="61">
        <f>'Input BoM- Manufacturing'!O24</f>
        <v>0</v>
      </c>
      <c r="D34" s="208">
        <f>'Input BoM- Manufacturing'!P24</f>
        <v>0</v>
      </c>
      <c r="E34" s="59">
        <f>'Input BoM- Manufacturing'!W24</f>
        <v>0</v>
      </c>
      <c r="F34" s="59">
        <f>'Input BoM- Manufacturing'!X24</f>
        <v>0</v>
      </c>
      <c r="G34" s="169"/>
      <c r="H34" s="62" t="str">
        <f t="shared" si="0"/>
        <v/>
      </c>
      <c r="I34" s="33"/>
      <c r="J34" s="31" t="str">
        <f t="shared" si="1"/>
        <v/>
      </c>
      <c r="K34" s="31"/>
      <c r="L34" s="36"/>
      <c r="M34" s="35"/>
      <c r="N34" s="39"/>
      <c r="O34" s="31"/>
      <c r="P34" s="31"/>
    </row>
    <row r="35" spans="2:16" customFormat="1" ht="14.5">
      <c r="B35" s="31">
        <f>'Input BoM- Manufacturing'!T25</f>
        <v>0</v>
      </c>
      <c r="C35" s="61">
        <f>'Input BoM- Manufacturing'!O25</f>
        <v>0</v>
      </c>
      <c r="D35" s="208">
        <f>'Input BoM- Manufacturing'!P25</f>
        <v>0</v>
      </c>
      <c r="E35" s="59">
        <f>'Input BoM- Manufacturing'!W25</f>
        <v>0</v>
      </c>
      <c r="F35" s="59">
        <f>'Input BoM- Manufacturing'!X25</f>
        <v>0</v>
      </c>
      <c r="G35" s="169"/>
      <c r="H35" s="62" t="str">
        <f t="shared" si="0"/>
        <v/>
      </c>
      <c r="I35" s="33"/>
      <c r="J35" s="31" t="str">
        <f t="shared" si="1"/>
        <v/>
      </c>
      <c r="K35" s="31"/>
      <c r="L35" s="36"/>
      <c r="M35" s="35"/>
      <c r="N35" s="39"/>
      <c r="O35" s="31"/>
      <c r="P35" s="31"/>
    </row>
    <row r="36" spans="2:16" customFormat="1" ht="14.5">
      <c r="B36" s="31">
        <f>'Input BoM- Manufacturing'!T26</f>
        <v>0</v>
      </c>
      <c r="C36" s="61">
        <f>'Input BoM- Manufacturing'!O26</f>
        <v>0</v>
      </c>
      <c r="D36" s="208">
        <f>'Input BoM- Manufacturing'!P26</f>
        <v>0</v>
      </c>
      <c r="E36" s="59">
        <f>'Input BoM- Manufacturing'!W26</f>
        <v>0</v>
      </c>
      <c r="F36" s="59">
        <f>'Input BoM- Manufacturing'!X26</f>
        <v>0</v>
      </c>
      <c r="G36" s="169"/>
      <c r="H36" s="62" t="str">
        <f t="shared" si="0"/>
        <v/>
      </c>
      <c r="I36" s="33"/>
      <c r="J36" s="31" t="str">
        <f t="shared" si="1"/>
        <v/>
      </c>
      <c r="K36" s="31"/>
      <c r="L36" s="36"/>
      <c r="M36" s="35"/>
      <c r="N36" s="39"/>
      <c r="O36" s="31"/>
      <c r="P36" s="31"/>
    </row>
    <row r="37" spans="2:16" customFormat="1" ht="14.5">
      <c r="B37" s="31">
        <f>'Input BoM- Manufacturing'!T27</f>
        <v>0</v>
      </c>
      <c r="C37" s="61">
        <f>'Input BoM- Manufacturing'!O27</f>
        <v>0</v>
      </c>
      <c r="D37" s="208">
        <f>'Input BoM- Manufacturing'!P27</f>
        <v>0</v>
      </c>
      <c r="E37" s="59">
        <f>'Input BoM- Manufacturing'!W27</f>
        <v>0</v>
      </c>
      <c r="F37" s="59">
        <f>'Input BoM- Manufacturing'!X27</f>
        <v>0</v>
      </c>
      <c r="G37" s="169"/>
      <c r="H37" s="62" t="str">
        <f t="shared" si="0"/>
        <v/>
      </c>
      <c r="I37" s="33"/>
      <c r="J37" s="31" t="str">
        <f t="shared" si="1"/>
        <v/>
      </c>
      <c r="K37" s="63"/>
      <c r="L37" s="36"/>
      <c r="M37" s="35"/>
      <c r="N37" s="39"/>
      <c r="O37" s="31"/>
      <c r="P37" s="31"/>
    </row>
    <row r="38" spans="2:16" customFormat="1" ht="14.5">
      <c r="B38" s="31">
        <f>'Input BoM- Manufacturing'!T28</f>
        <v>0</v>
      </c>
      <c r="C38" s="61">
        <f>'Input BoM- Manufacturing'!O28</f>
        <v>0</v>
      </c>
      <c r="D38" s="208">
        <f>'Input BoM- Manufacturing'!P28</f>
        <v>0</v>
      </c>
      <c r="E38" s="59">
        <f>'Input BoM- Manufacturing'!W28</f>
        <v>0</v>
      </c>
      <c r="F38" s="59">
        <f>'Input BoM- Manufacturing'!X28</f>
        <v>0</v>
      </c>
      <c r="G38" s="169"/>
      <c r="H38" s="62" t="str">
        <f t="shared" si="0"/>
        <v/>
      </c>
      <c r="I38" s="33"/>
      <c r="J38" s="31" t="str">
        <f t="shared" si="1"/>
        <v/>
      </c>
      <c r="K38" s="31"/>
      <c r="L38" s="36"/>
      <c r="M38" s="35"/>
      <c r="N38" s="39"/>
      <c r="O38" s="31"/>
      <c r="P38" s="31"/>
    </row>
    <row r="39" spans="2:16" customFormat="1" ht="14.5">
      <c r="B39" s="31">
        <f>'Input BoM- Manufacturing'!T29</f>
        <v>0</v>
      </c>
      <c r="C39" s="61">
        <f>'Input BoM- Manufacturing'!O29</f>
        <v>0</v>
      </c>
      <c r="D39" s="208">
        <f>'Input BoM- Manufacturing'!P29</f>
        <v>0</v>
      </c>
      <c r="E39" s="59">
        <f>'Input BoM- Manufacturing'!W29</f>
        <v>0</v>
      </c>
      <c r="F39" s="59">
        <f>'Input BoM- Manufacturing'!X29</f>
        <v>0</v>
      </c>
      <c r="G39" s="170"/>
      <c r="H39" s="62"/>
      <c r="I39" s="33"/>
      <c r="J39" s="31"/>
      <c r="K39" s="31"/>
      <c r="L39" s="31"/>
      <c r="M39" s="64"/>
      <c r="N39" s="65"/>
      <c r="O39" s="31"/>
      <c r="P39" s="31"/>
    </row>
    <row r="40" spans="2:16" customFormat="1" ht="14.5">
      <c r="B40" s="31">
        <f>'Input BoM- Manufacturing'!T30</f>
        <v>0</v>
      </c>
      <c r="C40" s="61">
        <f>'Input BoM- Manufacturing'!O30</f>
        <v>0</v>
      </c>
      <c r="D40" s="208">
        <f>'Input BoM- Manufacturing'!P30</f>
        <v>0</v>
      </c>
      <c r="E40" s="59">
        <f>'Input BoM- Manufacturing'!W30</f>
        <v>0</v>
      </c>
      <c r="F40" s="59">
        <f>'Input BoM- Manufacturing'!X30</f>
        <v>0</v>
      </c>
      <c r="G40" s="170"/>
      <c r="H40" s="62" t="str">
        <f t="shared" si="0"/>
        <v/>
      </c>
      <c r="I40" s="33"/>
      <c r="J40" s="31" t="str">
        <f t="shared" ref="J40:J41" si="2">IF(I40="Stakeholder input", "High quality",IF(I40="Previous study", "Medium quality", IF(I40="Literature","Low quality",IF(I40="Googling","Low quality",""))))</f>
        <v/>
      </c>
      <c r="K40" s="22"/>
      <c r="L40" s="22"/>
      <c r="M40" s="66"/>
      <c r="N40" s="67"/>
      <c r="O40" s="31"/>
      <c r="P40" s="31"/>
    </row>
    <row r="41" spans="2:16" customFormat="1" ht="15" thickBot="1">
      <c r="B41" s="31">
        <f>'Input BoM- Manufacturing'!T31</f>
        <v>0</v>
      </c>
      <c r="C41" s="69">
        <f>'Input BoM- Manufacturing'!O31</f>
        <v>0</v>
      </c>
      <c r="D41" s="209">
        <f>'Input BoM- Manufacturing'!P31</f>
        <v>0</v>
      </c>
      <c r="E41" s="59">
        <f>'Input BoM- Manufacturing'!W31</f>
        <v>0</v>
      </c>
      <c r="F41" s="59">
        <f>'Input BoM- Manufacturing'!X31</f>
        <v>0</v>
      </c>
      <c r="G41" s="168"/>
      <c r="H41" s="70" t="str">
        <f>IF(G41="Yes", "Default","")</f>
        <v/>
      </c>
      <c r="I41" s="48"/>
      <c r="J41" s="68" t="str">
        <f t="shared" si="2"/>
        <v/>
      </c>
      <c r="K41" s="71"/>
      <c r="L41" s="71"/>
      <c r="M41" s="72"/>
      <c r="N41" s="73"/>
      <c r="O41" s="68"/>
      <c r="P41" s="68"/>
    </row>
    <row r="42" spans="2:16" customFormat="1" ht="14.5" thickBot="1">
      <c r="B42" s="74" t="s">
        <v>353</v>
      </c>
      <c r="C42" s="75">
        <f>SUM(C17:C28)+(C29*3.08)+C30</f>
        <v>206</v>
      </c>
      <c r="D42" s="211" t="s">
        <v>309</v>
      </c>
      <c r="E42" s="76">
        <f>SUM(E17:E41)</f>
        <v>0.99999999999999989</v>
      </c>
      <c r="F42" s="76"/>
      <c r="G42" s="171"/>
      <c r="H42" s="76"/>
      <c r="I42" s="76"/>
      <c r="J42" s="76"/>
      <c r="K42" s="76"/>
      <c r="L42" s="76"/>
      <c r="M42" s="76"/>
      <c r="N42" s="76"/>
      <c r="O42" s="76"/>
      <c r="P42" s="76"/>
    </row>
    <row r="43" spans="2:16" customFormat="1">
      <c r="B43" s="5"/>
      <c r="C43" s="7"/>
      <c r="D43" s="8"/>
      <c r="E43" s="8"/>
      <c r="F43" s="8"/>
      <c r="G43" s="172"/>
      <c r="H43" s="5"/>
      <c r="I43" s="4"/>
      <c r="J43" s="4"/>
      <c r="K43" s="5"/>
      <c r="L43" s="5"/>
      <c r="M43" s="5"/>
      <c r="N43" s="5"/>
      <c r="O43" s="4"/>
      <c r="P43" s="4"/>
    </row>
    <row r="44" spans="2:16" customFormat="1" ht="15" thickBot="1">
      <c r="B44" s="13" t="s">
        <v>601</v>
      </c>
      <c r="C44" s="8"/>
      <c r="D44" s="79" t="s">
        <v>454</v>
      </c>
      <c r="E44" s="8"/>
      <c r="F44" s="8"/>
      <c r="G44" s="172"/>
      <c r="H44" s="5"/>
      <c r="I44" s="4"/>
      <c r="J44" s="4"/>
      <c r="K44" s="5"/>
      <c r="L44" s="5"/>
      <c r="M44" s="5"/>
      <c r="N44" s="5"/>
      <c r="O44" s="4"/>
      <c r="P44" s="4"/>
    </row>
    <row r="45" spans="2:16" customFormat="1" ht="28.5" thickBot="1">
      <c r="B45" s="57" t="s">
        <v>355</v>
      </c>
      <c r="C45" s="57" t="s">
        <v>305</v>
      </c>
      <c r="D45" s="57" t="s">
        <v>7</v>
      </c>
      <c r="E45" s="57" t="s">
        <v>306</v>
      </c>
      <c r="F45" s="57" t="s">
        <v>307</v>
      </c>
      <c r="G45" s="58" t="s">
        <v>456</v>
      </c>
      <c r="H45" s="58" t="s">
        <v>457</v>
      </c>
      <c r="I45" s="57" t="s">
        <v>458</v>
      </c>
      <c r="J45" s="57" t="s">
        <v>459</v>
      </c>
      <c r="K45" s="57" t="s">
        <v>460</v>
      </c>
      <c r="L45" s="57" t="s">
        <v>461</v>
      </c>
      <c r="M45" s="17" t="s">
        <v>462</v>
      </c>
      <c r="N45" s="40" t="s">
        <v>463</v>
      </c>
      <c r="O45" s="57" t="s">
        <v>464</v>
      </c>
      <c r="P45" s="57" t="s">
        <v>465</v>
      </c>
    </row>
    <row r="46" spans="2:16" customFormat="1">
      <c r="B46" s="206" t="str">
        <f>'Input BoM- Manufacturing'!T36</f>
        <v>EPS</v>
      </c>
      <c r="C46" s="202">
        <f>'Input BoM- Manufacturing'!U36</f>
        <v>0.55000000000000004</v>
      </c>
      <c r="D46" s="203" t="str">
        <f>'Input BoM- Manufacturing'!V36</f>
        <v>kg</v>
      </c>
      <c r="E46" s="538">
        <f>'Input BoM- Manufacturing'!W36</f>
        <v>2.2200694276257368E-2</v>
      </c>
      <c r="F46" s="202" t="str">
        <f>'Input BoM- Manufacturing'!X36</f>
        <v>1-BlkPlastics</v>
      </c>
      <c r="G46" s="169" t="s">
        <v>466</v>
      </c>
      <c r="H46" s="62" t="str">
        <f t="shared" ref="H46:H55" si="3">IF(G46="Yes", "Default","")</f>
        <v>Default</v>
      </c>
      <c r="I46" s="32" t="s">
        <v>467</v>
      </c>
      <c r="J46" s="31" t="str">
        <f>IF(I46="Stakeholder input","High quality",IF(I46="Previous study","Medium quality",IF(I46="Literature","Medium quality",IF(I46="Googling","Fair quality",IF(I46="Scientific literature","High quality",IF(I46="Expert judgement","Medium quality",""))))))</f>
        <v>Medium quality</v>
      </c>
      <c r="K46" s="22"/>
      <c r="L46" s="31" t="s">
        <v>496</v>
      </c>
      <c r="M46" s="35"/>
      <c r="N46" s="39"/>
      <c r="O46" s="31" t="s">
        <v>479</v>
      </c>
      <c r="P46" s="31" t="s">
        <v>480</v>
      </c>
    </row>
    <row r="47" spans="2:16" customFormat="1">
      <c r="B47" s="206" t="str">
        <f>'Input BoM- Manufacturing'!T37</f>
        <v>PE-Foil</v>
      </c>
      <c r="C47" s="202">
        <f>'Input BoM- Manufacturing'!U37</f>
        <v>0</v>
      </c>
      <c r="D47" s="203" t="str">
        <f>'Input BoM- Manufacturing'!V37</f>
        <v>kg</v>
      </c>
      <c r="E47" s="538">
        <f>'Input BoM- Manufacturing'!W37</f>
        <v>0</v>
      </c>
      <c r="F47" s="202" t="str">
        <f>'Input BoM- Manufacturing'!X37</f>
        <v>1-BlkPlastics</v>
      </c>
      <c r="G47" s="169"/>
      <c r="H47" s="62" t="str">
        <f t="shared" si="3"/>
        <v/>
      </c>
      <c r="I47" s="32"/>
      <c r="J47" s="31" t="str">
        <f t="shared" ref="J47:J48" si="4">IF(I47="Stakeholder input","High quality",IF(I47="Previous study","Medium quality",IF(I47="Literature","Medium quality",IF(I47="Googling","Fair quality",IF(I47="Scientific literature","High quality",IF(I47="Expert judgement","Medium quality",""))))))</f>
        <v/>
      </c>
      <c r="K47" s="22"/>
      <c r="L47" s="31"/>
      <c r="M47" s="35"/>
      <c r="N47" s="39"/>
      <c r="O47" s="31" t="s">
        <v>487</v>
      </c>
      <c r="P47" s="31"/>
    </row>
    <row r="48" spans="2:16" customFormat="1">
      <c r="B48" s="206" t="str">
        <f>'Input BoM- Manufacturing'!T38</f>
        <v>PP (pastic strips)</v>
      </c>
      <c r="C48" s="202">
        <f>'Input BoM- Manufacturing'!U38</f>
        <v>0.53849999999999998</v>
      </c>
      <c r="D48" s="203" t="str">
        <f>'Input BoM- Manufacturing'!V38</f>
        <v>kg</v>
      </c>
      <c r="E48" s="538">
        <f>'Input BoM- Manufacturing'!W38</f>
        <v>2.1736497941390164E-2</v>
      </c>
      <c r="F48" s="202" t="str">
        <f>'Input BoM- Manufacturing'!X38</f>
        <v>1-BlkPlastics</v>
      </c>
      <c r="G48" s="169"/>
      <c r="H48" s="62" t="str">
        <f t="shared" si="3"/>
        <v/>
      </c>
      <c r="I48" s="32"/>
      <c r="J48" s="31" t="str">
        <f t="shared" si="4"/>
        <v/>
      </c>
      <c r="K48" s="173"/>
      <c r="L48" s="31"/>
      <c r="M48" s="35"/>
      <c r="N48" s="39"/>
      <c r="O48" s="31" t="s">
        <v>470</v>
      </c>
      <c r="P48" s="31" t="s">
        <v>471</v>
      </c>
    </row>
    <row r="49" spans="2:16" customFormat="1">
      <c r="B49" s="206" t="str">
        <f>'Input BoM- Manufacturing'!T39</f>
        <v>PET</v>
      </c>
      <c r="C49" s="202">
        <f>'Input BoM- Manufacturing'!U39</f>
        <v>0.6855</v>
      </c>
      <c r="D49" s="203" t="str">
        <f>'Input BoM- Manufacturing'!V39</f>
        <v>kg</v>
      </c>
      <c r="E49" s="538">
        <f>'Input BoM- Manufacturing'!W39</f>
        <v>4.6588283267636262E-2</v>
      </c>
      <c r="F49" s="202" t="str">
        <f>'Input BoM- Manufacturing'!X39</f>
        <v>1-BlkPlastics</v>
      </c>
      <c r="G49" s="169"/>
      <c r="H49" s="62" t="str">
        <f t="shared" si="3"/>
        <v/>
      </c>
      <c r="I49" s="175"/>
      <c r="J49" s="31" t="str">
        <f t="shared" ref="J49:J55" si="5">IF(I49="Stakeholder input", "High quality",IF(I49="Previous study", "Medium quality", IF(I49="Literature","Low quality",IF(I49="Googling","Low quality",""))))</f>
        <v/>
      </c>
      <c r="K49" s="173"/>
      <c r="L49" s="173"/>
      <c r="M49" s="35"/>
      <c r="N49" s="39"/>
      <c r="O49" s="31" t="s">
        <v>481</v>
      </c>
      <c r="P49" s="31" t="s">
        <v>482</v>
      </c>
    </row>
    <row r="50" spans="2:16" customFormat="1">
      <c r="B50" s="206" t="str">
        <f>'Input BoM- Manufacturing'!T40</f>
        <v>Wood</v>
      </c>
      <c r="C50" s="202">
        <f>'Input BoM- Manufacturing'!U40</f>
        <v>15.75</v>
      </c>
      <c r="D50" s="203" t="str">
        <f>'Input BoM- Manufacturing'!V40</f>
        <v>kg</v>
      </c>
      <c r="E50" s="538">
        <f>'Input BoM- Manufacturing'!W40</f>
        <v>0.63574715427464279</v>
      </c>
      <c r="F50" s="202" t="str">
        <f>'Input BoM- Manufacturing'!X40</f>
        <v>7-Misc.</v>
      </c>
      <c r="G50" s="169"/>
      <c r="H50" s="62" t="str">
        <f t="shared" si="3"/>
        <v/>
      </c>
      <c r="I50" s="175"/>
      <c r="J50" s="31" t="str">
        <f t="shared" si="5"/>
        <v/>
      </c>
      <c r="K50" s="31" t="s">
        <v>497</v>
      </c>
      <c r="L50" s="173"/>
      <c r="M50" s="35"/>
      <c r="N50" s="39"/>
      <c r="O50" s="31" t="s">
        <v>498</v>
      </c>
      <c r="P50" s="31" t="s">
        <v>480</v>
      </c>
    </row>
    <row r="51" spans="2:16" customFormat="1">
      <c r="B51" s="206" t="str">
        <f>'Input BoM- Manufacturing'!T41</f>
        <v>Cardboard</v>
      </c>
      <c r="C51" s="202">
        <f>'Input BoM- Manufacturing'!U41</f>
        <v>7.25</v>
      </c>
      <c r="D51" s="203" t="str">
        <f>'Input BoM- Manufacturing'!V41</f>
        <v>kg</v>
      </c>
      <c r="E51" s="538">
        <f>'Input BoM- Manufacturing'!W41</f>
        <v>0.2926455154597562</v>
      </c>
      <c r="F51" s="202" t="str">
        <f>'Input BoM- Manufacturing'!X41</f>
        <v>7-Misc.</v>
      </c>
      <c r="G51" s="169"/>
      <c r="H51" s="62" t="str">
        <f t="shared" si="3"/>
        <v/>
      </c>
      <c r="I51" s="175"/>
      <c r="J51" s="31" t="str">
        <f t="shared" si="5"/>
        <v/>
      </c>
      <c r="K51" s="31"/>
      <c r="L51" s="173"/>
      <c r="M51" s="35"/>
      <c r="N51" s="39"/>
      <c r="O51" s="31" t="s">
        <v>499</v>
      </c>
      <c r="P51" s="31" t="s">
        <v>500</v>
      </c>
    </row>
    <row r="52" spans="2:16" customFormat="1">
      <c r="B52" s="206" t="str">
        <f>'Input BoM- Manufacturing'!T42</f>
        <v>Cast iron</v>
      </c>
      <c r="C52" s="202">
        <f>'Input BoM- Manufacturing'!U42</f>
        <v>0</v>
      </c>
      <c r="D52" s="203" t="str">
        <f>'Input BoM- Manufacturing'!V42</f>
        <v>kg</v>
      </c>
      <c r="E52" s="538">
        <f>'Input BoM- Manufacturing'!W42</f>
        <v>0</v>
      </c>
      <c r="F52" s="202" t="str">
        <f>'Input BoM- Manufacturing'!X42</f>
        <v>3-Ferro</v>
      </c>
      <c r="G52" s="169"/>
      <c r="H52" s="62" t="str">
        <f t="shared" si="3"/>
        <v/>
      </c>
      <c r="I52" s="175"/>
      <c r="J52" s="31" t="str">
        <f t="shared" si="5"/>
        <v/>
      </c>
      <c r="K52" s="173"/>
      <c r="L52" s="173"/>
      <c r="M52" s="35"/>
      <c r="N52" s="39"/>
      <c r="O52" s="31"/>
      <c r="P52" s="31"/>
    </row>
    <row r="53" spans="2:16" customFormat="1">
      <c r="B53" s="206">
        <f>'Input BoM- Manufacturing'!N43</f>
        <v>0</v>
      </c>
      <c r="C53" s="202">
        <f>'Input BoM- Manufacturing'!O43</f>
        <v>0</v>
      </c>
      <c r="D53" s="203">
        <f>'Input BoM- Manufacturing'!P43</f>
        <v>0</v>
      </c>
      <c r="E53" s="210">
        <f>'Input BoM- Manufacturing'!Q43</f>
        <v>0</v>
      </c>
      <c r="F53" s="203">
        <f>'Input BoM- Manufacturing'!R43</f>
        <v>0</v>
      </c>
      <c r="G53" s="169"/>
      <c r="H53" s="62" t="str">
        <f t="shared" si="3"/>
        <v/>
      </c>
      <c r="I53" s="33"/>
      <c r="J53" s="31" t="str">
        <f t="shared" si="5"/>
        <v/>
      </c>
      <c r="K53" s="31"/>
      <c r="L53" s="31"/>
      <c r="M53" s="35"/>
      <c r="N53" s="39"/>
      <c r="O53" s="31"/>
      <c r="P53" s="31"/>
    </row>
    <row r="54" spans="2:16" customFormat="1">
      <c r="B54" s="206">
        <f>'Input BoM- Manufacturing'!N44</f>
        <v>0</v>
      </c>
      <c r="C54" s="202">
        <f>'Input BoM- Manufacturing'!O44</f>
        <v>0</v>
      </c>
      <c r="D54" s="203">
        <f>'Input BoM- Manufacturing'!P44</f>
        <v>0</v>
      </c>
      <c r="E54" s="210">
        <f>'Input BoM- Manufacturing'!Q44</f>
        <v>0</v>
      </c>
      <c r="F54" s="203">
        <f>'Input BoM- Manufacturing'!R44</f>
        <v>0</v>
      </c>
      <c r="G54" s="169"/>
      <c r="H54" s="62" t="str">
        <f t="shared" si="3"/>
        <v/>
      </c>
      <c r="I54" s="33"/>
      <c r="J54" s="31" t="str">
        <f t="shared" si="5"/>
        <v/>
      </c>
      <c r="K54" s="22"/>
      <c r="L54" s="22"/>
      <c r="M54" s="35"/>
      <c r="N54" s="39"/>
      <c r="O54" s="31"/>
      <c r="P54" s="31"/>
    </row>
    <row r="55" spans="2:16" customFormat="1" ht="14.5" thickBot="1">
      <c r="B55" s="207">
        <f>'Input BoM- Manufacturing'!N45</f>
        <v>0</v>
      </c>
      <c r="C55" s="204">
        <f>'Input BoM- Manufacturing'!O45</f>
        <v>0</v>
      </c>
      <c r="D55" s="205">
        <f>'Input BoM- Manufacturing'!P45</f>
        <v>0</v>
      </c>
      <c r="E55" s="210">
        <f>'Input BoM- Manufacturing'!Q45</f>
        <v>0</v>
      </c>
      <c r="F55" s="205">
        <f>'Input BoM- Manufacturing'!R45</f>
        <v>0</v>
      </c>
      <c r="G55" s="176"/>
      <c r="H55" s="70" t="str">
        <f t="shared" si="3"/>
        <v/>
      </c>
      <c r="I55" s="48"/>
      <c r="J55" s="68" t="str">
        <f t="shared" si="5"/>
        <v/>
      </c>
      <c r="K55" s="68"/>
      <c r="L55" s="68"/>
      <c r="M55" s="49"/>
      <c r="N55" s="50"/>
      <c r="O55" s="68"/>
      <c r="P55" s="68"/>
    </row>
    <row r="56" spans="2:16" customFormat="1" ht="14.5" thickBot="1">
      <c r="B56" s="74" t="s">
        <v>363</v>
      </c>
      <c r="C56" s="174">
        <f>SUM(C46:C52)</f>
        <v>24.774000000000001</v>
      </c>
      <c r="D56" s="212" t="s">
        <v>309</v>
      </c>
      <c r="E56" s="76">
        <f>SUM(E46:E55)</f>
        <v>1.0189181452196827</v>
      </c>
      <c r="F56" s="174"/>
      <c r="G56" s="132"/>
      <c r="H56" s="19"/>
      <c r="I56" s="96"/>
      <c r="J56" s="96"/>
      <c r="K56" s="19"/>
      <c r="L56" s="19"/>
      <c r="M56" s="19"/>
      <c r="N56" s="19"/>
      <c r="O56" s="96"/>
      <c r="P56" s="96"/>
    </row>
    <row r="57" spans="2:16" customFormat="1" ht="14.5" thickBot="1">
      <c r="G57" s="3"/>
    </row>
    <row r="58" spans="2:16" customFormat="1" ht="14.5" thickBot="1">
      <c r="B58" s="55" t="s">
        <v>364</v>
      </c>
      <c r="C58" s="56">
        <f>C42+C56</f>
        <v>230.774</v>
      </c>
      <c r="D58" s="77" t="s">
        <v>309</v>
      </c>
      <c r="G58" s="3"/>
    </row>
    <row r="59" spans="2:16" customFormat="1">
      <c r="G59" s="3"/>
    </row>
    <row r="61" spans="2:16" s="99" customFormat="1" ht="21">
      <c r="B61" s="54" t="s">
        <v>501</v>
      </c>
      <c r="C61" s="54"/>
      <c r="D61" s="54"/>
    </row>
    <row r="62" spans="2:16" ht="14.5" thickBot="1">
      <c r="B62" s="100"/>
    </row>
    <row r="63" spans="2:16" s="4" customFormat="1" ht="14.5" thickBot="1">
      <c r="B63" s="101" t="str">
        <f>'Input BoM- Manufacturing'!T55</f>
        <v>Energy used in manufacturing</v>
      </c>
      <c r="C63" s="18" t="str">
        <f>'Input BoM- Manufacturing'!U55</f>
        <v>Value</v>
      </c>
      <c r="D63" s="18" t="str">
        <f>'Input BoM- Manufacturing'!V55</f>
        <v>Unit</v>
      </c>
      <c r="E63" s="18" t="s">
        <v>458</v>
      </c>
      <c r="F63" s="18" t="s">
        <v>459</v>
      </c>
      <c r="G63" s="18" t="s">
        <v>502</v>
      </c>
      <c r="H63" s="18" t="s">
        <v>503</v>
      </c>
      <c r="I63" s="18" t="s">
        <v>461</v>
      </c>
      <c r="J63" s="17" t="s">
        <v>462</v>
      </c>
      <c r="K63" s="102" t="s">
        <v>463</v>
      </c>
    </row>
    <row r="64" spans="2:16">
      <c r="B64" s="78" t="str">
        <f>'Input BoM- Manufacturing'!T56</f>
        <v>Electricity</v>
      </c>
      <c r="C64" s="78">
        <f>'Input BoM- Manufacturing'!U56</f>
        <v>40</v>
      </c>
      <c r="D64" s="78" t="str">
        <f>'Input BoM- Manufacturing'!V56</f>
        <v>kWh</v>
      </c>
      <c r="E64" s="78"/>
      <c r="F64" s="78" t="str">
        <f>IF(E64="Stakeholder input","High quality",IF(E64="Previous study","Medium quality",IF(E64="Literature","Medium quality",IF(E64="Googling","Fair quality",IF(E64="Scientific literature","High quality",IF(E64="Expert judgement","Medium quality",""))))))</f>
        <v/>
      </c>
      <c r="G64" s="78"/>
      <c r="H64" s="78"/>
      <c r="I64" s="82"/>
      <c r="J64" s="103"/>
      <c r="K64" s="104"/>
    </row>
    <row r="65" spans="2:11" ht="14.5" thickBot="1">
      <c r="B65" s="21" t="str">
        <f>'Input BoM- Manufacturing'!T57</f>
        <v>Heat</v>
      </c>
      <c r="C65" s="159">
        <f>'Input BoM- Manufacturing'!U57</f>
        <v>0</v>
      </c>
      <c r="D65" s="21">
        <f>'Input BoM- Manufacturing'!V57</f>
        <v>0</v>
      </c>
      <c r="E65" s="21"/>
      <c r="F65" s="21"/>
      <c r="G65" s="21"/>
      <c r="H65" s="21"/>
      <c r="I65" s="38"/>
      <c r="J65" s="105"/>
      <c r="K65" s="106"/>
    </row>
    <row r="66" spans="2:11" ht="14.5" thickBot="1"/>
    <row r="67" spans="2:11" s="4" customFormat="1" ht="14.5" thickBot="1">
      <c r="B67" s="101" t="str">
        <f>'Input BoM- Manufacturing'!T59</f>
        <v>Additional materials used in manufacturing</v>
      </c>
      <c r="C67" s="18" t="str">
        <f>'Input BoM- Manufacturing'!U59</f>
        <v>Value</v>
      </c>
      <c r="D67" s="18" t="str">
        <f>'Input BoM- Manufacturing'!V59</f>
        <v>Unit</v>
      </c>
      <c r="E67" s="18" t="s">
        <v>458</v>
      </c>
      <c r="F67" s="18" t="s">
        <v>459</v>
      </c>
      <c r="G67" s="18" t="s">
        <v>460</v>
      </c>
      <c r="H67" s="18" t="s">
        <v>503</v>
      </c>
      <c r="I67" s="18" t="s">
        <v>461</v>
      </c>
      <c r="J67" s="17" t="s">
        <v>462</v>
      </c>
      <c r="K67" s="102" t="s">
        <v>463</v>
      </c>
    </row>
    <row r="68" spans="2:11" ht="14.5">
      <c r="B68" s="107" t="str">
        <f>'Input BoM- Manufacturing'!T60</f>
        <v>n.a.</v>
      </c>
      <c r="C68" s="78">
        <f>'Input BoM- Manufacturing'!U60</f>
        <v>0</v>
      </c>
      <c r="D68" s="78">
        <f>'Input BoM- Manufacturing'!V60</f>
        <v>0</v>
      </c>
      <c r="E68" s="78"/>
      <c r="F68" s="78" t="str">
        <f>IF(E68="Stakeholder input", "High quality",IF(E68="Previous study", "Medium quality", IF(E68="Literature","Low quality",IF(E68="Googling","Low quality",""))))</f>
        <v/>
      </c>
      <c r="G68" s="78"/>
      <c r="H68" s="78"/>
      <c r="J68" s="103"/>
      <c r="K68" s="104"/>
    </row>
    <row r="69" spans="2:11">
      <c r="B69" s="22">
        <f>'Input BoM- Manufacturing'!T61</f>
        <v>0</v>
      </c>
      <c r="C69" s="22">
        <f>'Input BoM- Manufacturing'!U61</f>
        <v>0</v>
      </c>
      <c r="D69" s="22">
        <f>'Input BoM- Manufacturing'!V61</f>
        <v>0</v>
      </c>
      <c r="E69" s="22"/>
      <c r="F69" s="22"/>
      <c r="G69" s="22"/>
      <c r="H69" s="22"/>
      <c r="I69" s="22"/>
      <c r="J69" s="108"/>
      <c r="K69" s="109"/>
    </row>
    <row r="70" spans="2:11">
      <c r="B70" s="22">
        <f>'Input BoM- Manufacturing'!T62</f>
        <v>0</v>
      </c>
      <c r="C70" s="22">
        <f>'Input BoM- Manufacturing'!U62</f>
        <v>0</v>
      </c>
      <c r="D70" s="22">
        <f>'Input BoM- Manufacturing'!V62</f>
        <v>0</v>
      </c>
      <c r="E70" s="22"/>
      <c r="F70" s="22" t="str">
        <f>IF(E70="Stakeholder input", "High quality",IF(E70="Previous study", "Medium quality", IF(E70="Literature","Low quality",IF(E70="Googling","Low quality",""))))</f>
        <v/>
      </c>
      <c r="G70" s="22"/>
      <c r="H70" s="22"/>
      <c r="I70" s="22"/>
      <c r="J70" s="108"/>
      <c r="K70" s="109"/>
    </row>
    <row r="71" spans="2:11" ht="14.5" thickBot="1">
      <c r="B71" s="21">
        <f>'Input BoM- Manufacturing'!T63</f>
        <v>0</v>
      </c>
      <c r="C71" s="21">
        <f>'Input BoM- Manufacturing'!U63</f>
        <v>0</v>
      </c>
      <c r="D71" s="21">
        <f>'Input BoM- Manufacturing'!V63</f>
        <v>0</v>
      </c>
      <c r="E71" s="21"/>
      <c r="F71" s="21"/>
      <c r="G71" s="21"/>
      <c r="H71" s="21"/>
      <c r="I71" s="38"/>
      <c r="J71" s="105"/>
      <c r="K71" s="106"/>
    </row>
    <row r="72" spans="2:11" ht="14.5" thickBot="1"/>
    <row r="73" spans="2:11">
      <c r="B73" s="485" t="s">
        <v>505</v>
      </c>
      <c r="C73" s="486" t="s">
        <v>305</v>
      </c>
      <c r="D73" s="487" t="s">
        <v>7</v>
      </c>
      <c r="E73" s="487" t="s">
        <v>506</v>
      </c>
      <c r="F73" s="488" t="s">
        <v>507</v>
      </c>
      <c r="G73" s="487" t="s">
        <v>508</v>
      </c>
      <c r="H73" s="489" t="s">
        <v>509</v>
      </c>
    </row>
    <row r="74" spans="2:11">
      <c r="B74" s="490" t="str">
        <f>B17</f>
        <v>Stainless steel</v>
      </c>
      <c r="C74" s="483">
        <f t="shared" ref="C74:D74" si="6">C17</f>
        <v>165</v>
      </c>
      <c r="D74" s="483" t="str">
        <f t="shared" si="6"/>
        <v>kg</v>
      </c>
      <c r="E74" s="687">
        <f>SUM(C74:C76)</f>
        <v>174</v>
      </c>
      <c r="F74" s="688" t="s">
        <v>510</v>
      </c>
      <c r="G74" s="689" t="s">
        <v>511</v>
      </c>
      <c r="H74" s="690" t="s">
        <v>512</v>
      </c>
    </row>
    <row r="75" spans="2:11">
      <c r="B75" s="490" t="str">
        <f>B24</f>
        <v>Pumps (stainless steel wave)</v>
      </c>
      <c r="C75" s="483">
        <f t="shared" ref="B75:D76" si="7">C22</f>
        <v>5</v>
      </c>
      <c r="D75" s="483" t="str">
        <f t="shared" si="7"/>
        <v>kg</v>
      </c>
      <c r="E75" s="688"/>
      <c r="F75" s="688"/>
      <c r="G75" s="689"/>
      <c r="H75" s="690"/>
    </row>
    <row r="76" spans="2:11">
      <c r="B76" s="490" t="str">
        <f t="shared" si="7"/>
        <v>Pumps (stack of sheets)</v>
      </c>
      <c r="C76" s="483">
        <f t="shared" si="7"/>
        <v>4</v>
      </c>
      <c r="D76" s="483" t="str">
        <f t="shared" si="7"/>
        <v>kg</v>
      </c>
      <c r="E76" s="688"/>
      <c r="F76" s="688"/>
      <c r="G76" s="689"/>
      <c r="H76" s="690"/>
    </row>
    <row r="77" spans="2:11">
      <c r="B77" s="490" t="str">
        <f t="shared" ref="B77:D79" si="8">B18</f>
        <v>Polypropylene (PP)</v>
      </c>
      <c r="C77" s="483">
        <f t="shared" si="8"/>
        <v>3</v>
      </c>
      <c r="D77" s="483" t="str">
        <f t="shared" si="8"/>
        <v>kg</v>
      </c>
      <c r="E77" s="687">
        <f>SUM(C77:C82)</f>
        <v>19.5</v>
      </c>
      <c r="F77" s="688" t="s">
        <v>513</v>
      </c>
      <c r="G77" s="484" t="s">
        <v>511</v>
      </c>
      <c r="H77" s="690" t="s">
        <v>514</v>
      </c>
    </row>
    <row r="78" spans="2:11">
      <c r="B78" s="490" t="str">
        <f t="shared" si="8"/>
        <v>Polyamide (PA)</v>
      </c>
      <c r="C78" s="483">
        <f t="shared" si="8"/>
        <v>4</v>
      </c>
      <c r="D78" s="483" t="str">
        <f t="shared" si="8"/>
        <v>kg</v>
      </c>
      <c r="E78" s="688"/>
      <c r="F78" s="688"/>
      <c r="G78" s="689" t="s">
        <v>515</v>
      </c>
      <c r="H78" s="690"/>
    </row>
    <row r="79" spans="2:11">
      <c r="B79" s="490" t="str">
        <f t="shared" si="8"/>
        <v>Ethylene Propylene Dien M-class rubber (EPDM)</v>
      </c>
      <c r="C79" s="483">
        <f t="shared" si="8"/>
        <v>4</v>
      </c>
      <c r="D79" s="483" t="str">
        <f t="shared" si="8"/>
        <v>kg</v>
      </c>
      <c r="E79" s="688"/>
      <c r="F79" s="688"/>
      <c r="G79" s="689"/>
      <c r="H79" s="690"/>
    </row>
    <row r="80" spans="2:11">
      <c r="B80" s="490" t="str">
        <f t="shared" ref="B80:D81" si="9">B27</f>
        <v>Cable sheath (PVC)</v>
      </c>
      <c r="C80" s="483">
        <f t="shared" si="9"/>
        <v>1.4</v>
      </c>
      <c r="D80" s="483" t="str">
        <f t="shared" si="9"/>
        <v>kg</v>
      </c>
      <c r="E80" s="688"/>
      <c r="F80" s="688"/>
      <c r="G80" s="689"/>
      <c r="H80" s="690"/>
    </row>
    <row r="81" spans="2:11">
      <c r="B81" s="490" t="str">
        <f t="shared" si="9"/>
        <v>Cable sheath (silicone, EDPM)</v>
      </c>
      <c r="C81" s="483">
        <f t="shared" si="9"/>
        <v>1.1000000000000001</v>
      </c>
      <c r="D81" s="483" t="str">
        <f t="shared" si="9"/>
        <v>kg</v>
      </c>
      <c r="E81" s="688"/>
      <c r="F81" s="688"/>
      <c r="G81" s="689"/>
      <c r="H81" s="690"/>
    </row>
    <row r="82" spans="2:11">
      <c r="B82" s="490" t="str">
        <f>B30</f>
        <v>Gaskets, etc. (EDPM)</v>
      </c>
      <c r="C82" s="483">
        <f>C30</f>
        <v>6</v>
      </c>
      <c r="D82" s="483" t="str">
        <f>D30</f>
        <v>kg</v>
      </c>
      <c r="E82" s="688"/>
      <c r="F82" s="688"/>
      <c r="G82" s="689"/>
      <c r="H82" s="690"/>
    </row>
    <row r="83" spans="2:11">
      <c r="B83" s="490" t="str">
        <f>B22</f>
        <v>Pumps (copper)</v>
      </c>
      <c r="C83" s="483">
        <f>C21</f>
        <v>0</v>
      </c>
      <c r="D83" s="483" t="str">
        <f>D21</f>
        <v>kg</v>
      </c>
      <c r="E83" s="687">
        <f>SUM(C83:C84)</f>
        <v>2.4</v>
      </c>
      <c r="F83" s="688" t="s">
        <v>520</v>
      </c>
      <c r="G83" s="689" t="s">
        <v>511</v>
      </c>
      <c r="H83" s="690" t="s">
        <v>521</v>
      </c>
    </row>
    <row r="84" spans="2:11">
      <c r="B84" s="490" t="str">
        <f>B26</f>
        <v>Cable (copper)</v>
      </c>
      <c r="C84" s="483">
        <f>C26</f>
        <v>2.4</v>
      </c>
      <c r="D84" s="483" t="str">
        <f>D26</f>
        <v>kg</v>
      </c>
      <c r="E84" s="688"/>
      <c r="F84" s="688"/>
      <c r="G84" s="689"/>
      <c r="H84" s="690"/>
    </row>
    <row r="85" spans="2:11" ht="42">
      <c r="B85" s="490" t="str">
        <f>B25</f>
        <v>Pumps (Al)</v>
      </c>
      <c r="C85" s="483">
        <f>C24</f>
        <v>3</v>
      </c>
      <c r="D85" s="483" t="str">
        <f>D24</f>
        <v>kg</v>
      </c>
      <c r="E85" s="508">
        <f>SUM(C85:C85)</f>
        <v>3</v>
      </c>
      <c r="F85" s="539" t="s">
        <v>518</v>
      </c>
      <c r="G85" s="540" t="s">
        <v>511</v>
      </c>
      <c r="H85" s="541" t="s">
        <v>519</v>
      </c>
    </row>
    <row r="86" spans="2:11" ht="42.5" thickBot="1">
      <c r="B86" s="492" t="str">
        <f>B29</f>
        <v>Electronics (control)</v>
      </c>
      <c r="C86" s="493">
        <f>C29</f>
        <v>0.68181818181818188</v>
      </c>
      <c r="D86" s="493" t="str">
        <f>D29</f>
        <v>m2</v>
      </c>
      <c r="E86" s="493">
        <f>C86</f>
        <v>0.68181818181818188</v>
      </c>
      <c r="F86" s="494" t="s">
        <v>522</v>
      </c>
      <c r="G86" s="496" t="s">
        <v>603</v>
      </c>
      <c r="H86" s="497" t="s">
        <v>523</v>
      </c>
    </row>
    <row r="89" spans="2:11" s="110" customFormat="1" ht="21">
      <c r="B89" s="52" t="s">
        <v>524</v>
      </c>
      <c r="D89" s="52"/>
      <c r="E89" s="52"/>
    </row>
    <row r="90" spans="2:11" s="4" customFormat="1" ht="21">
      <c r="B90" s="10"/>
      <c r="D90" s="10"/>
      <c r="E90" s="10"/>
    </row>
    <row r="91" spans="2:11" s="4" customFormat="1" ht="15" thickBot="1">
      <c r="B91" s="95" t="s">
        <v>373</v>
      </c>
      <c r="E91" s="13" t="s">
        <v>525</v>
      </c>
    </row>
    <row r="92" spans="2:11" s="4" customFormat="1" ht="16" customHeight="1" thickBot="1">
      <c r="B92" s="101" t="str">
        <f>'Input BoM- Manufacturing'!T70</f>
        <v>Transport - lorry</v>
      </c>
      <c r="C92" s="18" t="str">
        <f>'Input BoM- Manufacturing'!U70</f>
        <v>Value</v>
      </c>
      <c r="D92" s="18" t="str">
        <f>'Input BoM- Manufacturing'!V70</f>
        <v>Unit</v>
      </c>
      <c r="E92" s="18" t="s">
        <v>458</v>
      </c>
      <c r="F92" s="18" t="s">
        <v>459</v>
      </c>
      <c r="G92" s="18" t="s">
        <v>526</v>
      </c>
      <c r="H92" s="18" t="s">
        <v>503</v>
      </c>
      <c r="I92" s="18" t="s">
        <v>461</v>
      </c>
      <c r="J92" s="17" t="s">
        <v>462</v>
      </c>
      <c r="K92" s="102" t="s">
        <v>463</v>
      </c>
    </row>
    <row r="93" spans="2:11" s="4" customFormat="1" ht="14.5">
      <c r="B93" s="94" t="str">
        <f>'Input BoM- Manufacturing'!T71</f>
        <v>Weight of product (incl. packaging)</v>
      </c>
      <c r="C93" s="265">
        <f>'Input BoM- Manufacturing'!U71</f>
        <v>0.23077400000000001</v>
      </c>
      <c r="D93" s="112" t="str">
        <f>'Input BoM- Manufacturing'!V71</f>
        <v>ton</v>
      </c>
      <c r="E93" s="47"/>
      <c r="F93" s="47" t="str">
        <f>IF(E93="Stakeholder input","High quality",IF(E93="Previous study","Medium quality",IF(E93="Literature","Medium quality",IF(E93="Googling","Fair quality",IF(E93="Scientific literature","High quality",IF(E93="Expert judgement","Medium quality",""))))))</f>
        <v/>
      </c>
      <c r="G93" s="60" t="s">
        <v>527</v>
      </c>
      <c r="H93" s="82"/>
      <c r="I93" s="82"/>
      <c r="J93" s="103"/>
      <c r="K93" s="104"/>
    </row>
    <row r="94" spans="2:11" s="4" customFormat="1" ht="42.5" thickBot="1">
      <c r="B94" s="93" t="str">
        <f>'Input BoM- Manufacturing'!T72</f>
        <v>Distance</v>
      </c>
      <c r="C94" s="113">
        <f>'Input BoM- Manufacturing'!U72</f>
        <v>1330</v>
      </c>
      <c r="D94" s="113" t="str">
        <f>'Input BoM- Manufacturing'!V72</f>
        <v>km</v>
      </c>
      <c r="E94" s="37"/>
      <c r="F94" s="37" t="str">
        <f t="shared" ref="F94" si="10">IF(E94="Stakeholder input","High quality",IF(E94="Previous study","Medium quality",IF(E94="Literature","Medium quality",IF(E94="Googling","Fair quality",IF(E94="Scientific literature","High quality",IF(E94="Expert judgement","Medium quality",""))))))</f>
        <v/>
      </c>
      <c r="G94" s="21" t="s">
        <v>529</v>
      </c>
      <c r="H94" s="21"/>
      <c r="I94" s="38"/>
      <c r="J94" s="105"/>
      <c r="K94" s="106"/>
    </row>
    <row r="95" spans="2:11" s="4" customFormat="1">
      <c r="B95" s="11"/>
      <c r="C95" s="114"/>
      <c r="D95" s="114"/>
      <c r="J95" s="115"/>
    </row>
    <row r="96" spans="2:11" s="4" customFormat="1" ht="14.5" thickBot="1">
      <c r="C96" s="114"/>
      <c r="D96" s="114"/>
    </row>
    <row r="97" spans="2:12" s="4" customFormat="1" ht="16" customHeight="1" thickBot="1">
      <c r="B97" s="101" t="str">
        <f>'Input BoM- Manufacturing'!T75</f>
        <v>Transport - train</v>
      </c>
      <c r="C97" s="18" t="str">
        <f>'Input BoM- Manufacturing'!U75</f>
        <v>Value</v>
      </c>
      <c r="D97" s="18" t="str">
        <f>'Input BoM- Manufacturing'!V75</f>
        <v>Unit</v>
      </c>
      <c r="E97" s="18" t="s">
        <v>458</v>
      </c>
      <c r="F97" s="18" t="s">
        <v>459</v>
      </c>
      <c r="G97" s="18" t="s">
        <v>526</v>
      </c>
      <c r="H97" s="18" t="s">
        <v>503</v>
      </c>
      <c r="I97" s="18" t="s">
        <v>461</v>
      </c>
      <c r="J97" s="17" t="s">
        <v>462</v>
      </c>
      <c r="K97" s="102" t="s">
        <v>463</v>
      </c>
    </row>
    <row r="98" spans="2:12" s="4" customFormat="1" ht="14.5">
      <c r="B98" s="94" t="str">
        <f>'Input BoM- Manufacturing'!T76</f>
        <v>Weight of product (incl. packaging)</v>
      </c>
      <c r="C98" s="266">
        <f>'Input BoM- Manufacturing'!U76</f>
        <v>0.23077400000000001</v>
      </c>
      <c r="D98" s="112" t="str">
        <f>'Input BoM- Manufacturing'!V76</f>
        <v>ton</v>
      </c>
      <c r="E98" s="47"/>
      <c r="F98" s="47" t="str">
        <f>IF(E98="Stakeholder input","High quality",IF(E98="Previous study","Medium quality",IF(E98="Literature","Medium quality",IF(E98="Googling","Fair quality",IF(E98="Scientific literature","High quality",IF(E98="Expert judgement","Medium quality",""))))))</f>
        <v/>
      </c>
      <c r="G98" s="60" t="s">
        <v>527</v>
      </c>
      <c r="H98" s="82"/>
      <c r="I98" s="82"/>
      <c r="J98" s="103"/>
      <c r="K98" s="104"/>
    </row>
    <row r="99" spans="2:12" s="4" customFormat="1" ht="42.5" thickBot="1">
      <c r="B99" s="93" t="str">
        <f>'Input BoM- Manufacturing'!T77</f>
        <v>Distance</v>
      </c>
      <c r="C99" s="113">
        <f>'Input BoM- Manufacturing'!U77</f>
        <v>240</v>
      </c>
      <c r="D99" s="113" t="str">
        <f>'Input BoM- Manufacturing'!V77</f>
        <v>km</v>
      </c>
      <c r="E99" s="37"/>
      <c r="F99" s="37" t="str">
        <f t="shared" ref="F99" si="11">IF(E99="Stakeholder input","High quality",IF(E99="Previous study","Medium quality",IF(E99="Literature","Medium quality",IF(E99="Googling","Fair quality",IF(E99="Scientific literature","High quality",IF(E99="Expert judgement","Medium quality",""))))))</f>
        <v/>
      </c>
      <c r="G99" s="21" t="s">
        <v>531</v>
      </c>
      <c r="H99" s="21"/>
      <c r="I99" s="38"/>
      <c r="J99" s="105"/>
      <c r="K99" s="106"/>
      <c r="L99" s="12"/>
    </row>
    <row r="100" spans="2:12" s="4" customFormat="1">
      <c r="C100" s="114"/>
      <c r="D100" s="114"/>
    </row>
    <row r="101" spans="2:12" s="4" customFormat="1" ht="14.5" thickBot="1">
      <c r="C101" s="114"/>
      <c r="D101" s="114"/>
    </row>
    <row r="102" spans="2:12" s="4" customFormat="1" ht="16" customHeight="1" thickBot="1">
      <c r="B102" s="101" t="str">
        <f>'Input BoM- Manufacturing'!T80</f>
        <v>Transport - ship</v>
      </c>
      <c r="C102" s="18" t="str">
        <f>'Input BoM- Manufacturing'!U80</f>
        <v>Value</v>
      </c>
      <c r="D102" s="18" t="str">
        <f>'Input BoM- Manufacturing'!V80</f>
        <v>Unit</v>
      </c>
      <c r="E102" s="18" t="s">
        <v>458</v>
      </c>
      <c r="F102" s="18" t="s">
        <v>459</v>
      </c>
      <c r="G102" s="18" t="s">
        <v>526</v>
      </c>
      <c r="H102" s="18" t="s">
        <v>503</v>
      </c>
      <c r="I102" s="18" t="s">
        <v>461</v>
      </c>
      <c r="J102" s="17" t="s">
        <v>462</v>
      </c>
      <c r="K102" s="102" t="s">
        <v>463</v>
      </c>
    </row>
    <row r="103" spans="2:12" s="4" customFormat="1" ht="14.5">
      <c r="B103" s="94" t="str">
        <f>'Input BoM- Manufacturing'!T81</f>
        <v>Weight of product (incl. packaging)</v>
      </c>
      <c r="C103" s="266">
        <f>'Input BoM- Manufacturing'!U81</f>
        <v>0.23077400000000001</v>
      </c>
      <c r="D103" s="112" t="str">
        <f>'Input BoM- Manufacturing'!V81</f>
        <v>ton</v>
      </c>
      <c r="E103" s="47"/>
      <c r="F103" s="47" t="str">
        <f>IF(E103="Stakeholder input","High quality",IF(E103="Previous study","Medium quality",IF(E103="Literature","Medium quality",IF(E103="Googling","Fair quality",IF(E103="Scientific literature","High quality",IF(E103="Expert judgement","Medium quality",""))))))</f>
        <v/>
      </c>
      <c r="G103" s="60" t="s">
        <v>527</v>
      </c>
      <c r="H103" s="82"/>
      <c r="I103" s="82"/>
      <c r="J103" s="103"/>
      <c r="K103" s="104"/>
    </row>
    <row r="104" spans="2:12" s="4" customFormat="1" ht="42.5" thickBot="1">
      <c r="B104" s="93" t="str">
        <f>'Input BoM- Manufacturing'!T82</f>
        <v>Distance</v>
      </c>
      <c r="C104" s="113">
        <f>'Input BoM- Manufacturing'!U82</f>
        <v>270</v>
      </c>
      <c r="D104" s="113" t="str">
        <f>'Input BoM- Manufacturing'!V82</f>
        <v>km</v>
      </c>
      <c r="E104" s="37"/>
      <c r="F104" s="37" t="str">
        <f t="shared" ref="F104" si="12">IF(E104="Stakeholder input","High quality",IF(E104="Previous study","Medium quality",IF(E104="Literature","Medium quality",IF(E104="Googling","Fair quality",IF(E104="Scientific literature","High quality",IF(E104="Expert judgement","Medium quality",""))))))</f>
        <v/>
      </c>
      <c r="G104" s="21" t="s">
        <v>532</v>
      </c>
      <c r="H104" s="21"/>
      <c r="I104" s="38"/>
      <c r="J104" s="105"/>
      <c r="K104" s="106"/>
      <c r="L104" s="12"/>
    </row>
    <row r="107" spans="2:12" ht="14.5" thickBot="1"/>
    <row r="108" spans="2:12" ht="14.5" thickBot="1">
      <c r="B108" s="116" t="s">
        <v>530</v>
      </c>
      <c r="C108" s="117" t="s">
        <v>377</v>
      </c>
      <c r="D108" s="117" t="s">
        <v>7</v>
      </c>
      <c r="E108" s="117" t="s">
        <v>533</v>
      </c>
      <c r="F108" s="118" t="s">
        <v>526</v>
      </c>
      <c r="G108" s="119"/>
    </row>
    <row r="109" spans="2:12" ht="14.5">
      <c r="B109" s="699" t="s">
        <v>534</v>
      </c>
      <c r="C109" s="30">
        <v>130</v>
      </c>
      <c r="D109" s="30" t="s">
        <v>378</v>
      </c>
      <c r="E109" s="30" t="s">
        <v>535</v>
      </c>
      <c r="F109" s="701" t="s">
        <v>536</v>
      </c>
      <c r="G109" s="702"/>
    </row>
    <row r="110" spans="2:12" ht="14.5">
      <c r="B110" s="700"/>
      <c r="C110" s="2">
        <v>240</v>
      </c>
      <c r="D110" s="2" t="s">
        <v>378</v>
      </c>
      <c r="E110" s="2" t="s">
        <v>537</v>
      </c>
      <c r="F110" s="703" t="s">
        <v>536</v>
      </c>
      <c r="G110" s="704"/>
    </row>
    <row r="111" spans="2:12" ht="14.5">
      <c r="B111" s="700"/>
      <c r="C111" s="2">
        <v>270</v>
      </c>
      <c r="D111" s="2" t="s">
        <v>378</v>
      </c>
      <c r="E111" s="2" t="s">
        <v>538</v>
      </c>
      <c r="F111" s="703" t="s">
        <v>536</v>
      </c>
      <c r="G111" s="704"/>
    </row>
    <row r="112" spans="2:12" ht="15" thickBot="1">
      <c r="B112" s="120" t="s">
        <v>539</v>
      </c>
      <c r="C112" s="92">
        <v>1200</v>
      </c>
      <c r="D112" s="92" t="s">
        <v>378</v>
      </c>
      <c r="E112" s="92" t="s">
        <v>535</v>
      </c>
      <c r="F112" s="691" t="s">
        <v>540</v>
      </c>
      <c r="G112" s="692"/>
    </row>
    <row r="115" spans="2:11" s="99" customFormat="1" ht="21">
      <c r="B115" s="54" t="s">
        <v>541</v>
      </c>
      <c r="D115" s="54"/>
      <c r="E115" s="54"/>
      <c r="F115" s="54"/>
      <c r="G115" s="54"/>
    </row>
    <row r="117" spans="2:11" ht="15" thickBot="1">
      <c r="E117" s="13" t="s">
        <v>525</v>
      </c>
    </row>
    <row r="118" spans="2:11" s="114" customFormat="1" ht="14.5" thickBot="1">
      <c r="B118" s="18" t="s">
        <v>382</v>
      </c>
      <c r="C118" s="18" t="s">
        <v>305</v>
      </c>
      <c r="D118" s="18" t="s">
        <v>7</v>
      </c>
      <c r="E118" s="18" t="s">
        <v>458</v>
      </c>
      <c r="F118" s="18" t="s">
        <v>459</v>
      </c>
      <c r="G118" s="18" t="s">
        <v>460</v>
      </c>
      <c r="H118" s="18" t="s">
        <v>503</v>
      </c>
      <c r="I118" s="18" t="s">
        <v>461</v>
      </c>
      <c r="J118" s="17" t="s">
        <v>462</v>
      </c>
      <c r="K118" s="102" t="s">
        <v>463</v>
      </c>
    </row>
    <row r="119" spans="2:11" s="114" customFormat="1" ht="14.5" thickBot="1">
      <c r="B119" s="121" t="s">
        <v>383</v>
      </c>
      <c r="C119" s="58"/>
      <c r="D119" s="58"/>
      <c r="E119" s="58"/>
      <c r="F119" s="58"/>
      <c r="G119" s="58"/>
      <c r="H119" s="58"/>
      <c r="I119" s="58"/>
      <c r="J119" s="58"/>
      <c r="K119" s="58"/>
    </row>
    <row r="120" spans="2:11">
      <c r="B120" s="78" t="s">
        <v>384</v>
      </c>
      <c r="C120" s="122">
        <f>'Input use - economics'!I7</f>
        <v>12114.666666666668</v>
      </c>
      <c r="D120" s="251" t="str">
        <f>'Input use - economics'!J7</f>
        <v>kWh</v>
      </c>
      <c r="E120" s="47"/>
      <c r="F120" s="47" t="str">
        <f>IF(E120="Stakeholder input","High quality",IF(E120="Previous study","Medium quality",IF(E120="Literature","Medium quality",IF(E120="Googling","Fair quality",IF(E120="Scientific literature","High quality",IF(E120="Expert judgement","Medium quality",""))))))</f>
        <v/>
      </c>
      <c r="G120" s="78"/>
      <c r="H120" s="82"/>
      <c r="I120" s="82" t="s">
        <v>133</v>
      </c>
      <c r="J120" s="103"/>
      <c r="K120" s="104"/>
    </row>
    <row r="121" spans="2:11">
      <c r="B121" s="22" t="s">
        <v>385</v>
      </c>
      <c r="C121" s="124">
        <f>'Input use - economics'!I8</f>
        <v>0.98</v>
      </c>
      <c r="D121" s="252" t="str">
        <f>'Input use - economics'!J8</f>
        <v>%</v>
      </c>
      <c r="E121" s="33"/>
      <c r="F121" s="33" t="str">
        <f t="shared" ref="F121:F135" si="13">IF(E121="Stakeholder input","High quality",IF(E121="Previous study","Medium quality",IF(E121="Literature","Medium quality",IF(E121="Googling","Fair quality",IF(E121="Scientific literature","High quality",IF(E121="Expert judgement","Medium quality",""))))))</f>
        <v/>
      </c>
      <c r="G121" s="22"/>
      <c r="H121" s="22"/>
      <c r="I121" s="34" t="s">
        <v>133</v>
      </c>
      <c r="J121" s="108"/>
      <c r="K121" s="109"/>
    </row>
    <row r="122" spans="2:11" s="4" customFormat="1">
      <c r="B122" s="33" t="s">
        <v>387</v>
      </c>
      <c r="C122" s="126">
        <f>'Input use - economics'!I9</f>
        <v>0.02</v>
      </c>
      <c r="D122" s="253" t="str">
        <f>'Input use - economics'!J9</f>
        <v>%</v>
      </c>
      <c r="E122" s="33"/>
      <c r="F122" s="33" t="str">
        <f t="shared" si="13"/>
        <v/>
      </c>
      <c r="G122" s="33"/>
      <c r="H122" s="33"/>
      <c r="I122" s="34" t="s">
        <v>133</v>
      </c>
      <c r="J122" s="108"/>
      <c r="K122" s="109"/>
    </row>
    <row r="123" spans="2:11" s="4" customFormat="1">
      <c r="B123" s="521" t="s">
        <v>395</v>
      </c>
      <c r="C123" s="536">
        <f>'Input use - economics'!$I$15</f>
        <v>940.50752399999988</v>
      </c>
      <c r="D123" s="253" t="s">
        <v>396</v>
      </c>
      <c r="E123" s="48"/>
      <c r="F123" s="48" t="str">
        <f t="shared" si="13"/>
        <v/>
      </c>
      <c r="G123" s="48"/>
      <c r="H123" s="81"/>
      <c r="I123" s="535" t="s">
        <v>542</v>
      </c>
      <c r="J123" s="129"/>
      <c r="K123" s="135"/>
    </row>
    <row r="124" spans="2:11" s="4" customFormat="1" ht="14.5" thickBot="1">
      <c r="B124" s="48" t="s">
        <v>543</v>
      </c>
      <c r="C124" s="127">
        <f>'Input use - economics'!I10</f>
        <v>116700</v>
      </c>
      <c r="D124" s="254" t="str">
        <f>'Input use - economics'!J10</f>
        <v>litres/year</v>
      </c>
      <c r="E124" s="48"/>
      <c r="F124" s="48" t="str">
        <f t="shared" si="13"/>
        <v/>
      </c>
      <c r="G124" s="48"/>
      <c r="H124" s="81"/>
      <c r="I124" s="81" t="s">
        <v>133</v>
      </c>
      <c r="J124" s="129"/>
      <c r="K124" s="109"/>
    </row>
    <row r="125" spans="2:11" s="4" customFormat="1" ht="14.5" thickBot="1">
      <c r="B125" s="86" t="s">
        <v>397</v>
      </c>
      <c r="C125" s="130"/>
      <c r="D125" s="255"/>
      <c r="E125" s="96"/>
      <c r="F125" s="96"/>
      <c r="G125" s="96"/>
      <c r="H125" s="97"/>
      <c r="I125" s="97"/>
      <c r="J125" s="131"/>
      <c r="K125" s="109"/>
    </row>
    <row r="126" spans="2:11">
      <c r="B126" s="78" t="s">
        <v>398</v>
      </c>
      <c r="C126" s="122">
        <f>'Input use - economics'!I17</f>
        <v>30</v>
      </c>
      <c r="D126" s="251" t="str">
        <f>'Input use - economics'!J17</f>
        <v>cycles/day</v>
      </c>
      <c r="E126" s="47"/>
      <c r="F126" s="47" t="str">
        <f t="shared" si="13"/>
        <v/>
      </c>
      <c r="G126" s="78"/>
      <c r="H126" s="78"/>
      <c r="I126" s="82" t="s">
        <v>133</v>
      </c>
      <c r="J126" s="103"/>
      <c r="K126" s="109"/>
    </row>
    <row r="127" spans="2:11">
      <c r="B127" s="22" t="s">
        <v>604</v>
      </c>
      <c r="C127" s="256">
        <f>'Input use - economics'!I18</f>
        <v>300</v>
      </c>
      <c r="D127" s="252" t="str">
        <f>'Input use - economics'!J18</f>
        <v>days/year</v>
      </c>
      <c r="E127" s="33"/>
      <c r="F127" s="33" t="str">
        <f t="shared" si="13"/>
        <v/>
      </c>
      <c r="G127" s="22"/>
      <c r="H127" s="22"/>
      <c r="I127" s="34" t="s">
        <v>133</v>
      </c>
      <c r="J127" s="108"/>
      <c r="K127" s="109"/>
    </row>
    <row r="128" spans="2:11">
      <c r="B128" s="22" t="s">
        <v>402</v>
      </c>
      <c r="C128" s="256" t="str">
        <f>'Input use - economics'!I19</f>
        <v>n.a.</v>
      </c>
      <c r="D128" s="252" t="str">
        <f>'Input use - economics'!J19</f>
        <v>unit</v>
      </c>
      <c r="E128" s="33"/>
      <c r="F128" s="33"/>
      <c r="G128" s="22"/>
      <c r="H128" s="22"/>
      <c r="I128" s="34" t="s">
        <v>133</v>
      </c>
      <c r="J128" s="108"/>
      <c r="K128" s="109"/>
    </row>
    <row r="129" spans="2:11" ht="14.5" thickBot="1">
      <c r="B129" s="80" t="s">
        <v>605</v>
      </c>
      <c r="C129" s="257">
        <f>'Input use - economics'!I21</f>
        <v>11</v>
      </c>
      <c r="D129" s="258" t="str">
        <f>'Input use - economics'!J21</f>
        <v>hours/day</v>
      </c>
      <c r="E129" s="48"/>
      <c r="F129" s="48"/>
      <c r="G129" s="80"/>
      <c r="H129" s="80"/>
      <c r="I129" s="81" t="s">
        <v>133</v>
      </c>
      <c r="J129" s="129"/>
      <c r="K129" s="109"/>
    </row>
    <row r="130" spans="2:11" ht="14.5" thickBot="1">
      <c r="B130" s="132" t="s">
        <v>406</v>
      </c>
      <c r="C130" s="259"/>
      <c r="D130" s="260"/>
      <c r="E130" s="96"/>
      <c r="F130" s="96"/>
      <c r="G130" s="98"/>
      <c r="H130" s="98"/>
      <c r="I130" s="97"/>
      <c r="J130" s="131"/>
      <c r="K130" s="109"/>
    </row>
    <row r="131" spans="2:11" s="4" customFormat="1" ht="14.5" thickBot="1">
      <c r="B131" s="133" t="s">
        <v>407</v>
      </c>
      <c r="C131" s="261">
        <f>'Input use - economics'!I23</f>
        <v>323.64</v>
      </c>
      <c r="D131" s="262" t="str">
        <f>'Input use - economics'!J23</f>
        <v>kg/year</v>
      </c>
      <c r="E131" s="47"/>
      <c r="F131" s="47" t="str">
        <f>IF(E131="Stakeholder input","High quality",IF(E131="Previous study","Medium quality",IF(E131="Literature","Medium quality",IF(E131="Googling","Fair quality",IF(E131="Scientific literature","High quality",IF(E131="Expert judgement","Medium quality",""))))))</f>
        <v/>
      </c>
      <c r="G131" s="47"/>
      <c r="H131" s="78"/>
      <c r="I131" s="82" t="s">
        <v>133</v>
      </c>
      <c r="J131" s="103"/>
      <c r="K131" s="109"/>
    </row>
    <row r="132" spans="2:11" s="4" customFormat="1">
      <c r="B132" s="51" t="s">
        <v>544</v>
      </c>
      <c r="C132" s="122">
        <f>'Input use - economics'!I24</f>
        <v>17.009999999999998</v>
      </c>
      <c r="D132" s="262" t="str">
        <f>'Input use - economics'!D24</f>
        <v>kg/year</v>
      </c>
      <c r="E132" s="51"/>
      <c r="F132" s="51"/>
      <c r="G132" s="51"/>
      <c r="H132" s="63"/>
      <c r="I132" s="82" t="s">
        <v>133</v>
      </c>
      <c r="J132" s="445"/>
      <c r="K132" s="135"/>
    </row>
    <row r="133" spans="2:11" s="4" customFormat="1">
      <c r="B133" s="125" t="s">
        <v>410</v>
      </c>
      <c r="C133" s="122">
        <f>'Input use - economics'!I25</f>
        <v>0</v>
      </c>
      <c r="D133" s="251">
        <f>'Input use - economics'!J25</f>
        <v>0</v>
      </c>
      <c r="E133" s="48"/>
      <c r="F133" s="48"/>
      <c r="G133" s="48"/>
      <c r="H133" s="80"/>
      <c r="I133" s="34" t="s">
        <v>133</v>
      </c>
      <c r="J133" s="129"/>
      <c r="K133" s="135"/>
    </row>
    <row r="134" spans="2:11" s="4" customFormat="1">
      <c r="B134" s="125" t="s">
        <v>411</v>
      </c>
      <c r="C134" s="256">
        <f>'Input use - economics'!I26</f>
        <v>0</v>
      </c>
      <c r="D134" s="254" t="str">
        <f>'Input use - economics'!J26</f>
        <v>-</v>
      </c>
      <c r="E134" s="48"/>
      <c r="F134" s="48"/>
      <c r="G134" s="48"/>
      <c r="H134" s="80"/>
      <c r="I134" s="34" t="s">
        <v>133</v>
      </c>
      <c r="J134" s="129"/>
      <c r="K134" s="135"/>
    </row>
    <row r="135" spans="2:11" ht="14.5" thickBot="1">
      <c r="B135" s="88" t="s">
        <v>413</v>
      </c>
      <c r="C135" s="263">
        <f>'Input use - economics'!I27</f>
        <v>0</v>
      </c>
      <c r="D135" s="264" t="str">
        <f>'Input use - economics'!J27</f>
        <v>%</v>
      </c>
      <c r="E135" s="37"/>
      <c r="F135" s="37" t="str">
        <f t="shared" si="13"/>
        <v/>
      </c>
      <c r="G135" s="21"/>
      <c r="H135" s="21"/>
      <c r="I135" s="38" t="s">
        <v>133</v>
      </c>
      <c r="J135" s="105"/>
      <c r="K135" s="106"/>
    </row>
    <row r="137" spans="2:11" ht="15" thickBot="1">
      <c r="B137" s="111" t="s">
        <v>545</v>
      </c>
      <c r="E137" s="3">
        <f>(C140*C141)+(C147*C148)</f>
        <v>13055.174190666667</v>
      </c>
    </row>
    <row r="138" spans="2:11" s="114" customFormat="1" ht="14.5" thickBot="1">
      <c r="B138" s="18" t="s">
        <v>546</v>
      </c>
      <c r="C138" s="18" t="s">
        <v>305</v>
      </c>
      <c r="D138" s="18" t="s">
        <v>7</v>
      </c>
      <c r="E138" s="18" t="s">
        <v>458</v>
      </c>
      <c r="F138" s="18" t="s">
        <v>459</v>
      </c>
      <c r="G138" s="18" t="s">
        <v>460</v>
      </c>
      <c r="H138" s="18" t="s">
        <v>503</v>
      </c>
      <c r="I138" s="18" t="s">
        <v>461</v>
      </c>
      <c r="J138" s="17" t="s">
        <v>462</v>
      </c>
      <c r="K138" s="102" t="s">
        <v>463</v>
      </c>
    </row>
    <row r="139" spans="2:11" ht="14.5" thickBot="1">
      <c r="B139" s="132" t="s">
        <v>276</v>
      </c>
      <c r="C139" s="132"/>
      <c r="D139" s="132"/>
      <c r="E139" s="132"/>
      <c r="F139" s="137"/>
      <c r="G139" s="132"/>
      <c r="H139" s="132"/>
      <c r="I139" s="132"/>
      <c r="J139" s="131"/>
      <c r="K139" s="131"/>
    </row>
    <row r="140" spans="2:11" ht="14.5">
      <c r="B140" s="138" t="s">
        <v>547</v>
      </c>
      <c r="C140" s="139">
        <f>(C120*C121)/C141</f>
        <v>1.3191525925925927</v>
      </c>
      <c r="D140" s="134" t="s">
        <v>368</v>
      </c>
      <c r="E140" s="41"/>
      <c r="F140" s="20" t="str">
        <f>IF(E140="Stakeholder input","High quality",IF(E140="Previous study","Medium quality",IF(E140="Literature","Medium quality",IF(E140="Googling","Fair quality",IF(E140="Scientific literature","High quality",IF(E140="Expert judgement","Medium quality",""))))))</f>
        <v/>
      </c>
      <c r="G140" s="20"/>
      <c r="H140" s="20"/>
      <c r="I140" s="20" t="s">
        <v>254</v>
      </c>
      <c r="J140" s="103"/>
      <c r="K140" s="104"/>
    </row>
    <row r="141" spans="2:11" ht="15" thickBot="1">
      <c r="B141" s="140" t="s">
        <v>548</v>
      </c>
      <c r="C141" s="21">
        <f>C126*C127</f>
        <v>9000</v>
      </c>
      <c r="D141" s="136" t="s">
        <v>549</v>
      </c>
      <c r="E141" s="37"/>
      <c r="F141" s="21" t="str">
        <f t="shared" ref="F141:F145" si="14">IF(E141="Stakeholder input","High quality",IF(E141="Previous study","Medium quality",IF(E141="Literature","Medium quality",IF(E141="Googling","Fair quality",IF(E141="Scientific literature","High quality",IF(E141="Expert judgement","Medium quality",""))))))</f>
        <v/>
      </c>
      <c r="G141" s="21"/>
      <c r="H141" s="21"/>
      <c r="I141" s="81" t="s">
        <v>254</v>
      </c>
      <c r="J141" s="129"/>
      <c r="K141" s="135"/>
    </row>
    <row r="142" spans="2:11" ht="14.5">
      <c r="B142" s="141" t="s">
        <v>550</v>
      </c>
      <c r="C142" s="142">
        <f>'T3 Input data'!$G$165</f>
        <v>0.55000000000000004</v>
      </c>
      <c r="D142" s="91" t="s">
        <v>368</v>
      </c>
      <c r="E142" s="41"/>
      <c r="F142" s="22" t="str">
        <f t="shared" si="14"/>
        <v/>
      </c>
      <c r="G142" s="22"/>
      <c r="H142" s="22"/>
      <c r="I142" s="20" t="s">
        <v>254</v>
      </c>
      <c r="J142" s="143"/>
      <c r="K142" s="144"/>
    </row>
    <row r="143" spans="2:11" ht="29" thickBot="1">
      <c r="B143" s="140" t="s">
        <v>551</v>
      </c>
      <c r="C143" s="21">
        <f>'T3 Input data'!F165*'Input use - economics'!I18</f>
        <v>2700</v>
      </c>
      <c r="D143" s="88" t="s">
        <v>549</v>
      </c>
      <c r="E143" s="37"/>
      <c r="F143" s="22" t="str">
        <f t="shared" si="14"/>
        <v/>
      </c>
      <c r="G143" s="22" t="s">
        <v>552</v>
      </c>
      <c r="H143" s="22"/>
      <c r="I143" s="38" t="s">
        <v>254</v>
      </c>
      <c r="J143" s="105"/>
      <c r="K143" s="106"/>
    </row>
    <row r="144" spans="2:11" ht="14.5">
      <c r="B144" s="141" t="s">
        <v>553</v>
      </c>
      <c r="C144" s="145"/>
      <c r="D144" s="134" t="s">
        <v>368</v>
      </c>
      <c r="E144" s="41"/>
      <c r="F144" s="23" t="str">
        <f t="shared" si="14"/>
        <v/>
      </c>
      <c r="G144" s="23"/>
      <c r="H144" s="23"/>
      <c r="I144" s="82" t="s">
        <v>254</v>
      </c>
      <c r="J144" s="103"/>
      <c r="K144" s="104"/>
    </row>
    <row r="145" spans="2:11" ht="15" thickBot="1">
      <c r="B145" s="140" t="s">
        <v>554</v>
      </c>
      <c r="C145" s="113"/>
      <c r="D145" s="88" t="s">
        <v>549</v>
      </c>
      <c r="E145" s="37"/>
      <c r="F145" s="24" t="str">
        <f t="shared" si="14"/>
        <v/>
      </c>
      <c r="G145" s="24"/>
      <c r="H145" s="24"/>
      <c r="I145" s="38" t="s">
        <v>254</v>
      </c>
      <c r="J145" s="129"/>
      <c r="K145" s="135"/>
    </row>
    <row r="146" spans="2:11" ht="14.5" thickBot="1">
      <c r="B146" s="132" t="s">
        <v>370</v>
      </c>
      <c r="C146" s="132"/>
      <c r="D146" s="146"/>
      <c r="E146" s="132"/>
      <c r="F146" s="132"/>
      <c r="G146" s="132"/>
      <c r="H146" s="132"/>
      <c r="I146" s="132"/>
      <c r="J146" s="131"/>
      <c r="K146" s="131"/>
    </row>
    <row r="147" spans="2:11" s="147" customFormat="1" ht="56">
      <c r="B147" s="148" t="s">
        <v>555</v>
      </c>
      <c r="C147" s="149">
        <f>((C120*C122)+C123)/C148</f>
        <v>0.13142231748148148</v>
      </c>
      <c r="D147" s="87" t="s">
        <v>368</v>
      </c>
      <c r="E147" s="42"/>
      <c r="F147" s="20" t="str">
        <f>IF(E147="Stakeholder input","High quality",IF(E147="Previous study","Medium quality",IF(E147="Literature","Medium quality",IF(E147="Googling","Fair quality",IF(E147="Scientific literature","High quality",IF(E147="Expert judgement","Medium quality",""))))))</f>
        <v/>
      </c>
      <c r="G147" s="20" t="s">
        <v>556</v>
      </c>
      <c r="H147" s="20" t="s">
        <v>557</v>
      </c>
      <c r="I147" s="20" t="s">
        <v>254</v>
      </c>
      <c r="J147" s="103"/>
      <c r="K147" s="104"/>
    </row>
    <row r="148" spans="2:11">
      <c r="B148" s="150" t="s">
        <v>558</v>
      </c>
      <c r="C148" s="21">
        <f>C141</f>
        <v>9000</v>
      </c>
      <c r="D148" s="88" t="s">
        <v>549</v>
      </c>
      <c r="E148" s="37"/>
      <c r="F148" s="37" t="str">
        <f>IF(E148="Stakeholder input","High quality",IF(E148="Previous study","Medium quality",IF(E148="Literature","Medium quality",IF(E148="Googling","Fair quality",IF(E148="Scientific literature","High quality",IF(E148="Expert judgement","Medium quality",""))))))</f>
        <v/>
      </c>
      <c r="G148" s="21"/>
      <c r="H148" s="21"/>
      <c r="I148" s="38" t="s">
        <v>254</v>
      </c>
      <c r="J148" s="129"/>
      <c r="K148" s="135"/>
    </row>
    <row r="149" spans="2:11" ht="14.5">
      <c r="B149" s="151" t="s">
        <v>559</v>
      </c>
      <c r="C149" s="152">
        <f>((C120*C122)+C123)/C150</f>
        <v>0.35842450222222216</v>
      </c>
      <c r="D149" s="89" t="s">
        <v>560</v>
      </c>
      <c r="E149" s="43"/>
      <c r="F149" s="25" t="str">
        <f t="shared" ref="F149:F164" si="15">IF(E149="Stakeholder input","High quality",IF(E149="Previous study","Medium quality",IF(E149="Literature","Medium quality",IF(E149="Googling","Fair quality",IF(E149="Scientific literature","High quality",IF(E149="Expert judgement","Medium quality",""))))))</f>
        <v/>
      </c>
      <c r="G149" s="25" t="s">
        <v>556</v>
      </c>
      <c r="H149" s="25"/>
      <c r="I149" s="25" t="s">
        <v>254</v>
      </c>
      <c r="J149" s="143"/>
      <c r="K149" s="144"/>
    </row>
    <row r="150" spans="2:11" ht="14.5">
      <c r="B150" s="153" t="s">
        <v>561</v>
      </c>
      <c r="C150" s="154">
        <f>C129*C127</f>
        <v>3300</v>
      </c>
      <c r="D150" s="90" t="s">
        <v>562</v>
      </c>
      <c r="E150" s="44"/>
      <c r="F150" s="26" t="str">
        <f t="shared" si="15"/>
        <v/>
      </c>
      <c r="G150" s="26"/>
      <c r="H150" s="26"/>
      <c r="I150" s="26" t="s">
        <v>254</v>
      </c>
      <c r="J150" s="108"/>
      <c r="K150" s="109"/>
    </row>
    <row r="151" spans="2:11" ht="15" thickBot="1">
      <c r="B151" s="285" t="s">
        <v>563</v>
      </c>
      <c r="C151" s="155"/>
      <c r="D151" s="156"/>
      <c r="E151" s="45"/>
      <c r="F151" s="27" t="str">
        <f t="shared" si="15"/>
        <v/>
      </c>
      <c r="G151" s="27"/>
      <c r="H151" s="27"/>
      <c r="I151" s="27"/>
      <c r="J151" s="105"/>
      <c r="K151" s="106"/>
    </row>
    <row r="152" spans="2:11" ht="14.5" thickBot="1">
      <c r="B152" s="132" t="s">
        <v>564</v>
      </c>
      <c r="C152" s="132"/>
      <c r="D152" s="146"/>
      <c r="E152" s="132"/>
      <c r="F152" s="132" t="str">
        <f t="shared" si="15"/>
        <v/>
      </c>
      <c r="G152" s="132"/>
      <c r="H152" s="132"/>
      <c r="I152" s="132"/>
      <c r="J152" s="131"/>
      <c r="K152" s="131"/>
    </row>
    <row r="153" spans="2:11">
      <c r="B153" s="157" t="s">
        <v>565</v>
      </c>
      <c r="C153" s="158">
        <f>(C124/C154)*0.001</f>
        <v>1.2966666666666666E-2</v>
      </c>
      <c r="D153" s="91" t="s">
        <v>566</v>
      </c>
      <c r="E153" s="41"/>
      <c r="F153" s="29" t="str">
        <f t="shared" si="15"/>
        <v/>
      </c>
      <c r="G153" s="29"/>
      <c r="H153" s="20"/>
      <c r="I153" s="20" t="s">
        <v>254</v>
      </c>
      <c r="J153" s="103"/>
      <c r="K153" s="104"/>
    </row>
    <row r="154" spans="2:11" ht="14.5" thickBot="1">
      <c r="B154" s="159" t="s">
        <v>558</v>
      </c>
      <c r="C154" s="21">
        <f>C141</f>
        <v>9000</v>
      </c>
      <c r="D154" s="88" t="s">
        <v>549</v>
      </c>
      <c r="E154" s="37"/>
      <c r="F154" s="21" t="str">
        <f t="shared" si="15"/>
        <v/>
      </c>
      <c r="G154" s="21"/>
      <c r="H154" s="21"/>
      <c r="I154" s="21" t="s">
        <v>254</v>
      </c>
      <c r="J154" s="129"/>
      <c r="K154" s="135"/>
    </row>
    <row r="155" spans="2:11" ht="14.5" thickBot="1">
      <c r="B155" s="441" t="s">
        <v>567</v>
      </c>
      <c r="C155" s="447">
        <f>C124*0.001</f>
        <v>116.7</v>
      </c>
      <c r="D155" s="443" t="s">
        <v>566</v>
      </c>
      <c r="E155" s="444"/>
      <c r="F155" s="442"/>
      <c r="G155" s="442"/>
      <c r="H155" s="442"/>
      <c r="I155" s="442" t="s">
        <v>542</v>
      </c>
      <c r="J155" s="445"/>
      <c r="K155" s="446"/>
    </row>
    <row r="156" spans="2:11" ht="14.5" thickBot="1">
      <c r="B156" s="132" t="s">
        <v>406</v>
      </c>
      <c r="C156" s="132"/>
      <c r="D156" s="146"/>
      <c r="E156" s="132"/>
      <c r="F156" s="132" t="str">
        <f t="shared" si="15"/>
        <v/>
      </c>
      <c r="G156" s="132"/>
      <c r="H156" s="132"/>
      <c r="I156" s="132"/>
      <c r="J156" s="131"/>
      <c r="K156" s="131"/>
    </row>
    <row r="157" spans="2:11" ht="15" thickBot="1">
      <c r="B157" s="160" t="s">
        <v>568</v>
      </c>
      <c r="C157" s="161">
        <f>C131/C141</f>
        <v>3.5959999999999999E-2</v>
      </c>
      <c r="D157" s="162" t="s">
        <v>309</v>
      </c>
      <c r="E157" s="46"/>
      <c r="F157" s="28" t="str">
        <f t="shared" si="15"/>
        <v/>
      </c>
      <c r="G157" s="28"/>
      <c r="H157" s="28"/>
      <c r="I157" s="28" t="s">
        <v>254</v>
      </c>
      <c r="J157" s="163"/>
      <c r="K157" s="164"/>
    </row>
    <row r="158" spans="2:11" ht="15" thickBot="1">
      <c r="B158" s="551" t="s">
        <v>606</v>
      </c>
      <c r="C158" s="161">
        <f>C132/C141</f>
        <v>1.8899999999999998E-3</v>
      </c>
      <c r="D158" s="162" t="s">
        <v>309</v>
      </c>
      <c r="E158" s="51"/>
      <c r="F158" s="63"/>
      <c r="G158" s="63"/>
      <c r="H158" s="63"/>
      <c r="I158" s="63"/>
      <c r="J158" s="445"/>
      <c r="K158" s="446"/>
    </row>
    <row r="159" spans="2:11">
      <c r="B159" s="157" t="s">
        <v>569</v>
      </c>
      <c r="C159" s="78">
        <f>C133</f>
        <v>0</v>
      </c>
      <c r="D159" s="123"/>
      <c r="E159" s="47"/>
      <c r="F159" s="78" t="str">
        <f t="shared" si="15"/>
        <v/>
      </c>
      <c r="G159" s="78"/>
      <c r="H159" s="78"/>
      <c r="I159" s="78" t="s">
        <v>570</v>
      </c>
      <c r="J159" s="103"/>
      <c r="K159" s="104"/>
    </row>
    <row r="160" spans="2:11">
      <c r="B160" s="165" t="s">
        <v>411</v>
      </c>
      <c r="C160" s="22">
        <f>C134</f>
        <v>0</v>
      </c>
      <c r="D160" s="128" t="s">
        <v>412</v>
      </c>
      <c r="E160" s="33"/>
      <c r="F160" s="22" t="str">
        <f t="shared" si="15"/>
        <v/>
      </c>
      <c r="G160" s="22"/>
      <c r="H160" s="22"/>
      <c r="I160" s="78" t="s">
        <v>570</v>
      </c>
      <c r="J160" s="108"/>
      <c r="K160" s="109"/>
    </row>
    <row r="161" spans="1:12" ht="14.5" thickBot="1">
      <c r="B161" s="166" t="s">
        <v>413</v>
      </c>
      <c r="C161" s="80">
        <f>C135</f>
        <v>0</v>
      </c>
      <c r="D161" s="128" t="s">
        <v>386</v>
      </c>
      <c r="E161" s="48"/>
      <c r="F161" s="80" t="str">
        <f t="shared" si="15"/>
        <v/>
      </c>
      <c r="G161" s="80"/>
      <c r="H161" s="80"/>
      <c r="I161" s="78" t="s">
        <v>570</v>
      </c>
      <c r="J161" s="129"/>
      <c r="K161" s="135"/>
    </row>
    <row r="162" spans="1:12" ht="14.5" thickBot="1">
      <c r="B162" s="132" t="s">
        <v>571</v>
      </c>
      <c r="C162" s="132"/>
      <c r="D162" s="146"/>
      <c r="E162" s="132"/>
      <c r="F162" s="132" t="str">
        <f t="shared" si="15"/>
        <v/>
      </c>
      <c r="G162" s="132"/>
      <c r="H162" s="132"/>
      <c r="I162" s="132"/>
      <c r="J162" s="131"/>
      <c r="K162" s="131"/>
    </row>
    <row r="163" spans="1:12">
      <c r="B163" s="78"/>
      <c r="C163" s="78"/>
      <c r="D163" s="123"/>
      <c r="E163" s="47"/>
      <c r="F163" s="78" t="str">
        <f t="shared" si="15"/>
        <v/>
      </c>
      <c r="G163" s="78"/>
      <c r="H163" s="78"/>
      <c r="I163" s="78"/>
      <c r="J163" s="103"/>
      <c r="K163" s="104"/>
    </row>
    <row r="164" spans="1:12" ht="14.5" thickBot="1">
      <c r="B164" s="21"/>
      <c r="C164" s="21"/>
      <c r="D164" s="88"/>
      <c r="E164" s="37"/>
      <c r="F164" s="21" t="str">
        <f t="shared" si="15"/>
        <v/>
      </c>
      <c r="G164" s="21"/>
      <c r="H164" s="21"/>
      <c r="I164" s="21"/>
      <c r="J164" s="105"/>
      <c r="K164" s="106"/>
    </row>
    <row r="166" spans="1:12" s="99" customFormat="1" ht="21">
      <c r="A166" s="110"/>
      <c r="B166" s="52" t="s">
        <v>572</v>
      </c>
      <c r="C166" s="110"/>
      <c r="D166" s="52"/>
      <c r="E166" s="52"/>
      <c r="F166" s="110"/>
      <c r="G166" s="110"/>
      <c r="H166" s="110"/>
      <c r="I166" s="110"/>
      <c r="J166" s="110"/>
      <c r="K166" s="110"/>
      <c r="L166" s="110"/>
    </row>
    <row r="167" spans="1:12" ht="14.5" thickBot="1">
      <c r="B167"/>
    </row>
    <row r="168" spans="1:12" ht="14.5" thickBot="1">
      <c r="B168" s="83" t="s">
        <v>573</v>
      </c>
      <c r="C168" s="84" t="s">
        <v>305</v>
      </c>
      <c r="D168" s="83" t="s">
        <v>7</v>
      </c>
      <c r="E168" s="84" t="s">
        <v>458</v>
      </c>
      <c r="F168" s="83" t="s">
        <v>459</v>
      </c>
      <c r="G168" s="83" t="s">
        <v>460</v>
      </c>
      <c r="H168" s="83" t="s">
        <v>503</v>
      </c>
      <c r="I168" s="84" t="s">
        <v>461</v>
      </c>
      <c r="J168" s="85" t="s">
        <v>462</v>
      </c>
      <c r="K168" s="167" t="s">
        <v>463</v>
      </c>
    </row>
    <row r="169" spans="1:12" ht="14.5" thickBot="1">
      <c r="B169" s="132" t="s">
        <v>415</v>
      </c>
      <c r="C169" s="132"/>
      <c r="D169" s="132"/>
      <c r="E169" s="132"/>
      <c r="F169" s="132"/>
      <c r="G169" s="132"/>
      <c r="H169" s="132"/>
      <c r="I169" s="146"/>
      <c r="J169" s="131"/>
      <c r="K169" s="131"/>
    </row>
    <row r="170" spans="1:12">
      <c r="A170" s="4"/>
      <c r="B170" s="47" t="s">
        <v>416</v>
      </c>
      <c r="C170" s="273">
        <f>'Input use - economics'!I36</f>
        <v>9</v>
      </c>
      <c r="D170" s="47" t="str">
        <f>'Input use - economics'!J36</f>
        <v>years</v>
      </c>
      <c r="E170" s="47"/>
      <c r="F170" s="47" t="str">
        <f>IF(E170="Stakeholder input","High quality",IF(E170="Previous study","Medium quality",IF(E170="Literature","Medium quality",IF(E170="Googling","Fair quality",IF(E170="Scientific literature","High quality",IF(E170="Expert judgement","Medium quality",""))))))</f>
        <v/>
      </c>
      <c r="G170" s="47"/>
      <c r="H170" s="47"/>
      <c r="I170" s="47" t="s">
        <v>542</v>
      </c>
      <c r="J170" s="103"/>
      <c r="K170" s="104"/>
      <c r="L170" s="4"/>
    </row>
    <row r="171" spans="1:12" ht="14.5" thickBot="1">
      <c r="A171" s="4"/>
      <c r="B171" s="48" t="s">
        <v>418</v>
      </c>
      <c r="C171" s="274">
        <f>'Input use - economics'!I37</f>
        <v>2.2000000000000002</v>
      </c>
      <c r="D171" s="48" t="str">
        <f>'Input use - economics'!J37</f>
        <v>-</v>
      </c>
      <c r="E171" s="48"/>
      <c r="F171" s="48" t="str">
        <f t="shared" ref="F171:F186" si="16">IF(E171="Stakeholder input","High quality",IF(E171="Previous study","Medium quality",IF(E171="Literature","Medium quality",IF(E171="Googling","Fair quality",IF(E171="Scientific literature","High quality",IF(E171="Expert judgement","Medium quality",""))))))</f>
        <v/>
      </c>
      <c r="G171" s="48"/>
      <c r="H171" s="48"/>
      <c r="I171" s="33" t="s">
        <v>542</v>
      </c>
      <c r="J171" s="129"/>
      <c r="K171" s="135"/>
      <c r="L171" s="4"/>
    </row>
    <row r="172" spans="1:12" ht="14.5" thickBot="1">
      <c r="A172" s="4"/>
      <c r="B172" s="86" t="s">
        <v>419</v>
      </c>
      <c r="C172" s="275"/>
      <c r="D172" s="86"/>
      <c r="E172" s="86"/>
      <c r="F172" s="86" t="str">
        <f t="shared" si="16"/>
        <v/>
      </c>
      <c r="G172" s="86"/>
      <c r="H172" s="86"/>
      <c r="I172" s="86"/>
      <c r="J172" s="131"/>
      <c r="K172" s="131"/>
      <c r="L172" s="4"/>
    </row>
    <row r="173" spans="1:12" ht="28">
      <c r="A173" s="4"/>
      <c r="B173" s="41" t="s">
        <v>574</v>
      </c>
      <c r="C173" s="276">
        <f>'Input use - economics'!I39</f>
        <v>3.0799999999999998E-3</v>
      </c>
      <c r="D173" s="41" t="str">
        <f>'Input use - economics'!J39</f>
        <v>mln. units/year</v>
      </c>
      <c r="E173" s="41" t="s">
        <v>607</v>
      </c>
      <c r="F173" s="41" t="str">
        <f t="shared" si="16"/>
        <v>Medium quality</v>
      </c>
      <c r="G173" s="41"/>
      <c r="H173" s="41" t="s">
        <v>575</v>
      </c>
      <c r="I173" s="41" t="s">
        <v>576</v>
      </c>
      <c r="J173" s="143"/>
      <c r="K173" s="104"/>
      <c r="L173" s="4"/>
    </row>
    <row r="174" spans="1:12" ht="70">
      <c r="A174" s="4"/>
      <c r="B174" s="33" t="s">
        <v>422</v>
      </c>
      <c r="C174" s="452">
        <f>'Input use - economics'!I40</f>
        <v>10854.998333333333</v>
      </c>
      <c r="D174" s="33" t="str">
        <f>'Input use - economics'!J40</f>
        <v>Euro/unit</v>
      </c>
      <c r="E174" s="33" t="s">
        <v>577</v>
      </c>
      <c r="F174" s="33" t="str">
        <f t="shared" si="16"/>
        <v>Medium quality</v>
      </c>
      <c r="G174" s="33" t="s">
        <v>578</v>
      </c>
      <c r="H174" s="33" t="s">
        <v>608</v>
      </c>
      <c r="I174" s="33" t="s">
        <v>576</v>
      </c>
      <c r="J174" s="108"/>
      <c r="K174" s="109"/>
      <c r="L174" s="4"/>
    </row>
    <row r="175" spans="1:12" ht="70">
      <c r="A175" s="4"/>
      <c r="B175" s="33" t="s">
        <v>424</v>
      </c>
      <c r="C175" s="453">
        <f>'Input use - economics'!I41</f>
        <v>15</v>
      </c>
      <c r="D175" s="33" t="str">
        <f>'Input use - economics'!J41</f>
        <v>-</v>
      </c>
      <c r="E175" s="33"/>
      <c r="F175" s="33" t="str">
        <f t="shared" si="16"/>
        <v/>
      </c>
      <c r="G175" s="360" t="s">
        <v>579</v>
      </c>
      <c r="H175" s="481" t="s">
        <v>580</v>
      </c>
      <c r="I175" s="33" t="s">
        <v>576</v>
      </c>
      <c r="J175" s="108"/>
      <c r="K175" s="109"/>
      <c r="L175" s="4"/>
    </row>
    <row r="176" spans="1:12" ht="70">
      <c r="A176" s="4"/>
      <c r="B176" s="33" t="s">
        <v>425</v>
      </c>
      <c r="C176" s="277">
        <f>'Input use - economics'!I42</f>
        <v>0</v>
      </c>
      <c r="D176" s="33" t="str">
        <f>'Input use - economics'!J42</f>
        <v>Euro/ unit</v>
      </c>
      <c r="E176" s="33"/>
      <c r="F176" s="33" t="str">
        <f t="shared" si="16"/>
        <v/>
      </c>
      <c r="G176" s="33" t="s">
        <v>581</v>
      </c>
      <c r="H176" s="33"/>
      <c r="I176" s="33" t="s">
        <v>576</v>
      </c>
      <c r="J176" s="108"/>
      <c r="K176" s="109"/>
      <c r="L176" s="4"/>
    </row>
    <row r="177" spans="1:12" ht="56">
      <c r="A177" s="4"/>
      <c r="B177" s="33" t="s">
        <v>427</v>
      </c>
      <c r="C177" s="480">
        <f>'Input use - economics'!I43</f>
        <v>2.3477100000000001E-2</v>
      </c>
      <c r="D177" s="33" t="str">
        <f>'Input use - economics'!J43</f>
        <v>Euro/MJ</v>
      </c>
      <c r="E177" s="33"/>
      <c r="F177" s="33" t="str">
        <f t="shared" si="16"/>
        <v/>
      </c>
      <c r="G177" s="360" t="s">
        <v>582</v>
      </c>
      <c r="H177" s="360" t="s">
        <v>583</v>
      </c>
      <c r="I177" s="33" t="s">
        <v>576</v>
      </c>
      <c r="J177" s="108"/>
      <c r="K177" s="109"/>
      <c r="L177" s="4"/>
    </row>
    <row r="178" spans="1:12" ht="42">
      <c r="A178" s="4"/>
      <c r="B178" s="33" t="s">
        <v>429</v>
      </c>
      <c r="C178" s="277">
        <f>'Input use - economics'!I44</f>
        <v>0.2571</v>
      </c>
      <c r="D178" s="33" t="str">
        <f>'Input use - economics'!J44</f>
        <v>Euro/kWh</v>
      </c>
      <c r="E178" s="33" t="s">
        <v>577</v>
      </c>
      <c r="F178" s="33" t="str">
        <f t="shared" si="16"/>
        <v>Medium quality</v>
      </c>
      <c r="G178" s="33" t="s">
        <v>584</v>
      </c>
      <c r="H178" s="33" t="s">
        <v>585</v>
      </c>
      <c r="I178" s="33" t="s">
        <v>576</v>
      </c>
      <c r="J178" s="108"/>
      <c r="K178" s="109"/>
      <c r="L178" s="4"/>
    </row>
    <row r="179" spans="1:12" ht="28">
      <c r="A179" s="4"/>
      <c r="B179" s="33" t="s">
        <v>431</v>
      </c>
      <c r="C179" s="277">
        <f>'Input use - economics'!I45</f>
        <v>1.91</v>
      </c>
      <c r="D179" s="33" t="str">
        <f>'Input use - economics'!J45</f>
        <v>Euro/m3</v>
      </c>
      <c r="E179" s="33" t="s">
        <v>577</v>
      </c>
      <c r="F179" s="33" t="str">
        <f t="shared" si="16"/>
        <v>Medium quality</v>
      </c>
      <c r="G179" s="33" t="s">
        <v>586</v>
      </c>
      <c r="H179" s="33" t="s">
        <v>587</v>
      </c>
      <c r="I179" s="33" t="s">
        <v>576</v>
      </c>
      <c r="J179" s="108"/>
      <c r="K179" s="109"/>
      <c r="L179" s="4"/>
    </row>
    <row r="180" spans="1:12" ht="28">
      <c r="A180" s="4"/>
      <c r="B180" s="33" t="s">
        <v>433</v>
      </c>
      <c r="C180" s="451">
        <f>'Input use - economics'!I46</f>
        <v>4776.1992666666665</v>
      </c>
      <c r="D180" s="33" t="str">
        <f>'Input use - economics'!J46</f>
        <v>Euro/ unit</v>
      </c>
      <c r="E180" s="33" t="s">
        <v>577</v>
      </c>
      <c r="F180" s="33" t="str">
        <f t="shared" si="16"/>
        <v>Medium quality</v>
      </c>
      <c r="G180" s="33" t="s">
        <v>588</v>
      </c>
      <c r="H180" s="33" t="s">
        <v>609</v>
      </c>
      <c r="I180" s="33" t="s">
        <v>576</v>
      </c>
      <c r="J180" s="108"/>
      <c r="K180" s="109"/>
      <c r="L180" s="4"/>
    </row>
    <row r="181" spans="1:12">
      <c r="A181" s="4"/>
      <c r="B181" s="33" t="s">
        <v>434</v>
      </c>
      <c r="C181" s="456">
        <f>'Input use - economics'!I47</f>
        <v>0.03</v>
      </c>
      <c r="D181" s="33" t="str">
        <f>'Input use - economics'!J47</f>
        <v>%</v>
      </c>
      <c r="E181" s="33" t="s">
        <v>577</v>
      </c>
      <c r="F181" s="33" t="str">
        <f t="shared" si="16"/>
        <v>Medium quality</v>
      </c>
      <c r="G181" s="457" t="s">
        <v>589</v>
      </c>
      <c r="H181" s="458" t="s">
        <v>590</v>
      </c>
      <c r="I181" s="33" t="s">
        <v>576</v>
      </c>
      <c r="J181" s="108"/>
      <c r="K181" s="109"/>
      <c r="L181" s="4"/>
    </row>
    <row r="182" spans="1:12">
      <c r="A182" s="4"/>
      <c r="B182" s="33" t="s">
        <v>435</v>
      </c>
      <c r="C182" s="455">
        <f>'Input use - economics'!I48</f>
        <v>1.4436889146168778E-2</v>
      </c>
      <c r="D182" s="33" t="str">
        <f>'Input use - economics'!J48</f>
        <v>%</v>
      </c>
      <c r="E182" s="33"/>
      <c r="F182" s="33" t="str">
        <f t="shared" si="16"/>
        <v/>
      </c>
      <c r="G182" s="33"/>
      <c r="H182" s="33"/>
      <c r="I182" s="33" t="s">
        <v>576</v>
      </c>
      <c r="J182" s="108"/>
      <c r="K182" s="109"/>
      <c r="L182" s="4"/>
    </row>
    <row r="183" spans="1:12" ht="28">
      <c r="A183" s="4"/>
      <c r="B183" s="33" t="s">
        <v>436</v>
      </c>
      <c r="C183" s="277">
        <f>'Input use - economics'!I49</f>
        <v>0.95</v>
      </c>
      <c r="D183" s="33" t="str">
        <f>'Input use - economics'!J49</f>
        <v>-</v>
      </c>
      <c r="E183" s="33" t="s">
        <v>504</v>
      </c>
      <c r="F183" s="33" t="str">
        <f t="shared" si="16"/>
        <v>High quality</v>
      </c>
      <c r="G183" s="33"/>
      <c r="H183" s="33" t="s">
        <v>591</v>
      </c>
      <c r="I183" s="33" t="s">
        <v>576</v>
      </c>
      <c r="J183" s="108"/>
      <c r="K183" s="109"/>
      <c r="L183" s="4"/>
    </row>
    <row r="184" spans="1:12" ht="14.5" customHeight="1">
      <c r="A184" s="4"/>
      <c r="B184" s="33" t="s">
        <v>437</v>
      </c>
      <c r="C184" s="450">
        <f>'Input use - economics'!I50</f>
        <v>4.21875</v>
      </c>
      <c r="D184" s="33" t="str">
        <f>'Input use - economics'!J50</f>
        <v>Euro/kg detergent</v>
      </c>
      <c r="E184" s="33" t="s">
        <v>577</v>
      </c>
      <c r="F184" s="33" t="str">
        <f t="shared" si="16"/>
        <v>Medium quality</v>
      </c>
      <c r="G184" s="685" t="s">
        <v>578</v>
      </c>
      <c r="H184" s="685" t="s">
        <v>592</v>
      </c>
      <c r="I184" s="33" t="s">
        <v>576</v>
      </c>
      <c r="J184" s="108"/>
      <c r="K184" s="109"/>
      <c r="L184" s="4"/>
    </row>
    <row r="185" spans="1:12" ht="28">
      <c r="A185" s="4"/>
      <c r="B185" s="33" t="s">
        <v>439</v>
      </c>
      <c r="C185" s="450">
        <f>'Input use - economics'!I51</f>
        <v>3.9266666666666667</v>
      </c>
      <c r="D185" s="33" t="str">
        <f>'Input use - economics'!J51</f>
        <v>Euro/kg rinsing agent</v>
      </c>
      <c r="E185" s="33" t="s">
        <v>577</v>
      </c>
      <c r="F185" s="33" t="str">
        <f t="shared" si="16"/>
        <v>Medium quality</v>
      </c>
      <c r="G185" s="686"/>
      <c r="H185" s="686"/>
      <c r="I185" s="33" t="s">
        <v>576</v>
      </c>
      <c r="J185" s="108"/>
      <c r="K185" s="109"/>
      <c r="L185" s="4"/>
    </row>
    <row r="186" spans="1:12" ht="14.5" thickBot="1">
      <c r="A186" s="4"/>
      <c r="B186" s="37" t="s">
        <v>441</v>
      </c>
      <c r="C186" s="278">
        <f>'Input use - economics'!I52</f>
        <v>0</v>
      </c>
      <c r="D186" s="37">
        <f>'Input use - economics'!J52</f>
        <v>0</v>
      </c>
      <c r="E186" s="37"/>
      <c r="F186" s="37" t="str">
        <f t="shared" si="16"/>
        <v/>
      </c>
      <c r="G186" s="37"/>
      <c r="H186" s="37"/>
      <c r="I186" s="33" t="s">
        <v>576</v>
      </c>
      <c r="J186" s="105"/>
      <c r="K186" s="106"/>
      <c r="L186" s="4"/>
    </row>
    <row r="188" spans="1:12" ht="14.5" thickBot="1"/>
    <row r="189" spans="1:12" ht="28.5" thickBot="1">
      <c r="B189" s="86" t="s">
        <v>593</v>
      </c>
      <c r="C189" s="86" t="s">
        <v>594</v>
      </c>
      <c r="D189" s="86" t="s">
        <v>595</v>
      </c>
      <c r="E189" s="86" t="s">
        <v>596</v>
      </c>
      <c r="F189" s="86" t="s">
        <v>597</v>
      </c>
      <c r="G189" s="86" t="s">
        <v>508</v>
      </c>
    </row>
    <row r="190" spans="1:12" ht="42">
      <c r="B190" s="464" t="s">
        <v>598</v>
      </c>
      <c r="C190" s="465">
        <v>2.1534784789184247E-2</v>
      </c>
      <c r="D190" s="466">
        <f>C147*C148/1.05</f>
        <v>1126.477006984127</v>
      </c>
      <c r="E190" s="466">
        <f>D190*C177*3.6</f>
        <v>95.207088026401379</v>
      </c>
      <c r="F190" s="467">
        <f>E190/$E$194</f>
        <v>2.0103495220991328E-2</v>
      </c>
      <c r="G190" s="468" t="s">
        <v>599</v>
      </c>
    </row>
    <row r="191" spans="1:12">
      <c r="B191" s="469" t="s">
        <v>367</v>
      </c>
      <c r="C191" s="460">
        <v>1.6197846857569271E-2</v>
      </c>
      <c r="D191" s="462">
        <f>C140*C141</f>
        <v>11872.373333333333</v>
      </c>
      <c r="E191" s="462">
        <f>D191*C178</f>
        <v>3052.3871839999997</v>
      </c>
      <c r="F191" s="463">
        <f t="shared" ref="F191:F193" si="17">E191/$E$194</f>
        <v>0.6445281799727216</v>
      </c>
      <c r="G191" s="470"/>
    </row>
    <row r="192" spans="1:12">
      <c r="B192" s="469" t="s">
        <v>107</v>
      </c>
      <c r="C192" s="460">
        <v>1.6220772190373989E-3</v>
      </c>
      <c r="D192" s="462">
        <f>C124</f>
        <v>116700</v>
      </c>
      <c r="E192" s="462">
        <f>C155*C179</f>
        <v>222.89699999999999</v>
      </c>
      <c r="F192" s="463">
        <f t="shared" si="17"/>
        <v>4.7065915649375803E-2</v>
      </c>
      <c r="G192" s="470"/>
    </row>
    <row r="193" spans="2:7">
      <c r="B193" s="469" t="s">
        <v>41</v>
      </c>
      <c r="C193" s="460">
        <v>1.2097198247907004E-2</v>
      </c>
      <c r="D193" s="462">
        <f>C131</f>
        <v>323.64</v>
      </c>
      <c r="E193" s="462">
        <f>D193*C184</f>
        <v>1365.35625</v>
      </c>
      <c r="F193" s="463">
        <f t="shared" si="17"/>
        <v>0.28830240915691135</v>
      </c>
      <c r="G193" s="470"/>
    </row>
    <row r="194" spans="2:7" ht="14.5" thickBot="1">
      <c r="B194" s="471"/>
      <c r="C194" s="472"/>
      <c r="D194" s="473"/>
      <c r="E194" s="473">
        <f>SUM(E190:E193)</f>
        <v>4735.8475220264008</v>
      </c>
      <c r="F194" s="474">
        <f>SUM(F190:F193)</f>
        <v>1</v>
      </c>
      <c r="G194" s="475"/>
    </row>
    <row r="195" spans="2:7" ht="14.5" thickBot="1">
      <c r="B195" s="476" t="s">
        <v>600</v>
      </c>
      <c r="C195" s="477">
        <f>(F190*C190)+(F191*C191)+(F192*C192)+(F193*C193)</f>
        <v>1.4436889146168778E-2</v>
      </c>
      <c r="D195" s="461"/>
      <c r="E195" s="461"/>
      <c r="F195" s="461"/>
      <c r="G195" s="14"/>
    </row>
  </sheetData>
  <mergeCells count="24">
    <mergeCell ref="B109:B111"/>
    <mergeCell ref="F109:G109"/>
    <mergeCell ref="F110:G110"/>
    <mergeCell ref="F111:G111"/>
    <mergeCell ref="B6:I6"/>
    <mergeCell ref="C7:I7"/>
    <mergeCell ref="C8:I8"/>
    <mergeCell ref="C9:I9"/>
    <mergeCell ref="C10:I10"/>
    <mergeCell ref="G184:G185"/>
    <mergeCell ref="H184:H185"/>
    <mergeCell ref="E74:E76"/>
    <mergeCell ref="F74:F76"/>
    <mergeCell ref="G74:G76"/>
    <mergeCell ref="H74:H76"/>
    <mergeCell ref="E77:E82"/>
    <mergeCell ref="F77:F82"/>
    <mergeCell ref="H77:H82"/>
    <mergeCell ref="G78:G82"/>
    <mergeCell ref="E83:E84"/>
    <mergeCell ref="F83:F84"/>
    <mergeCell ref="G83:G84"/>
    <mergeCell ref="H83:H84"/>
    <mergeCell ref="F112:G112"/>
  </mergeCells>
  <phoneticPr fontId="15" type="noConversion"/>
  <conditionalFormatting sqref="H17:H41">
    <cfRule type="expression" dxfId="5" priority="2">
      <formula>G17="No"</formula>
    </cfRule>
  </conditionalFormatting>
  <conditionalFormatting sqref="H46:H55">
    <cfRule type="expression" dxfId="4" priority="1">
      <formula>G46="No"</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12BF806-B2E3-46B8-AEE3-FFDCACCFA55E}">
          <x14:formula1>
            <xm:f>Lists!$B$2:$B$3</xm:f>
          </x14:formula1>
          <xm:sqref>G46:G55 G17:G41</xm:sqref>
        </x14:dataValidation>
        <x14:dataValidation type="list" allowBlank="1" showInputMessage="1" showErrorMessage="1" xr:uid="{BAACE7FD-B196-4F54-973D-7B051591AF32}">
          <x14:formula1>
            <xm:f>Lists!$F$2:$F$7</xm:f>
          </x14:formula1>
          <xm:sqref>E140:E145 I46:I55 E163:E164 E157:E161 E147:E151 E153:E155 E170:E171 E173:E186 E93:E94 E98:E99 E103:E104 E68:E71 E64:E65 I17:I41 E120:E134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2FFC5-025E-4968-B876-2691D9E0C03A}">
  <sheetPr>
    <tabColor theme="5"/>
  </sheetPr>
  <dimension ref="A1:P68"/>
  <sheetViews>
    <sheetView zoomScale="90" zoomScaleNormal="90" workbookViewId="0">
      <selection activeCell="B2" sqref="B2"/>
    </sheetView>
  </sheetViews>
  <sheetFormatPr baseColWidth="10" defaultColWidth="8.75" defaultRowHeight="14"/>
  <cols>
    <col min="1" max="1" width="5" style="3" customWidth="1"/>
    <col min="2" max="2" width="38.33203125" style="3" customWidth="1"/>
    <col min="3" max="3" width="12.25" style="3" customWidth="1"/>
    <col min="4" max="4" width="9.75" style="3" customWidth="1"/>
    <col min="5" max="5" width="22.75" style="3" customWidth="1"/>
    <col min="6" max="12" width="20.6640625" style="579" customWidth="1"/>
    <col min="13" max="13" width="24.25" style="3" customWidth="1"/>
    <col min="14" max="14" width="18.75" style="3" customWidth="1"/>
    <col min="15" max="15" width="26.83203125" style="3" customWidth="1"/>
    <col min="16" max="16" width="102.83203125" style="3" customWidth="1"/>
    <col min="17" max="17" width="101.4140625" style="3" customWidth="1"/>
    <col min="18" max="16384" width="8.75" style="3"/>
  </cols>
  <sheetData>
    <row r="1" spans="2:12" ht="23.5">
      <c r="B1" s="6" t="s">
        <v>681</v>
      </c>
      <c r="C1"/>
    </row>
    <row r="2" spans="2:12" ht="18.5">
      <c r="B2" s="618" t="s">
        <v>674</v>
      </c>
      <c r="C2"/>
    </row>
    <row r="3" spans="2:12" ht="18.5">
      <c r="B3" s="618"/>
      <c r="C3"/>
    </row>
    <row r="4" spans="2:12" ht="21">
      <c r="B4" s="619" t="s">
        <v>675</v>
      </c>
      <c r="C4" s="54"/>
      <c r="D4" s="54"/>
      <c r="E4" s="53"/>
      <c r="F4" s="619"/>
    </row>
    <row r="5" spans="2:12" s="567" customFormat="1" ht="16">
      <c r="B5" s="684" t="s">
        <v>680</v>
      </c>
      <c r="C5" s="684"/>
      <c r="D5" s="684"/>
      <c r="E5" s="684"/>
      <c r="F5" s="620"/>
      <c r="G5" s="620"/>
      <c r="H5" s="620"/>
      <c r="I5" s="620"/>
      <c r="J5" s="620"/>
      <c r="K5" s="620"/>
      <c r="L5" s="620"/>
    </row>
    <row r="6" spans="2:12" ht="24" thickBot="1">
      <c r="B6" s="6"/>
      <c r="C6"/>
      <c r="F6" s="621" t="s">
        <v>646</v>
      </c>
      <c r="G6" s="621" t="s">
        <v>653</v>
      </c>
      <c r="H6" s="621" t="s">
        <v>654</v>
      </c>
      <c r="I6" s="621" t="s">
        <v>655</v>
      </c>
      <c r="J6" s="621" t="s">
        <v>656</v>
      </c>
      <c r="K6" s="621" t="s">
        <v>657</v>
      </c>
      <c r="L6" s="621" t="s">
        <v>683</v>
      </c>
    </row>
    <row r="7" spans="2:12" ht="59" thickBot="1">
      <c r="B7" s="6"/>
      <c r="C7"/>
      <c r="E7" s="631" t="s">
        <v>676</v>
      </c>
      <c r="F7" s="587" t="str">
        <f>F19</f>
        <v>Exhaust heat recovery (regenerator)</v>
      </c>
      <c r="G7" s="588" t="str">
        <f t="shared" ref="G7:L7" si="0">G19</f>
        <v>Exhaust air heat pump</v>
      </c>
      <c r="H7" s="588" t="str">
        <f t="shared" si="0"/>
        <v>Automatic programme for load and soil recognition</v>
      </c>
      <c r="I7" s="588" t="str">
        <f t="shared" si="0"/>
        <v xml:space="preserve">Improved thermal insulation (double-walled design) </v>
      </c>
      <c r="J7" s="588" t="str">
        <f t="shared" si="0"/>
        <v>Further substitution  of metals by polymers</v>
      </c>
      <c r="K7" s="588" t="str">
        <f t="shared" si="0"/>
        <v>Modular design and reuse of electronics</v>
      </c>
      <c r="L7" s="589" t="str">
        <f t="shared" si="0"/>
        <v xml:space="preserve">Other relevant design option (stakeholder input)
</v>
      </c>
    </row>
    <row r="8" spans="2:12" ht="23.5">
      <c r="B8" s="6"/>
      <c r="C8" s="585" t="str">
        <f>F19</f>
        <v>Exhaust heat recovery (regenerator)</v>
      </c>
      <c r="D8" s="569" t="s">
        <v>647</v>
      </c>
      <c r="E8" s="632"/>
      <c r="F8" s="635" t="s">
        <v>412</v>
      </c>
      <c r="G8" s="635"/>
      <c r="H8" s="635"/>
      <c r="I8" s="635"/>
      <c r="J8" s="635"/>
      <c r="K8" s="635"/>
      <c r="L8" s="636"/>
    </row>
    <row r="9" spans="2:12" ht="23.5">
      <c r="B9" s="6"/>
      <c r="C9" s="585" t="str">
        <f>G19</f>
        <v>Exhaust air heat pump</v>
      </c>
      <c r="D9" s="569" t="s">
        <v>648</v>
      </c>
      <c r="E9" s="633"/>
      <c r="F9" s="612"/>
      <c r="G9" s="586" t="s">
        <v>412</v>
      </c>
      <c r="H9" s="586"/>
      <c r="I9" s="586"/>
      <c r="J9" s="586"/>
      <c r="K9" s="586"/>
      <c r="L9" s="590"/>
    </row>
    <row r="10" spans="2:12" ht="23.5">
      <c r="B10" s="6"/>
      <c r="C10" s="585" t="str">
        <f>H19</f>
        <v>Automatic programme for load and soil recognition</v>
      </c>
      <c r="D10" s="569" t="s">
        <v>649</v>
      </c>
      <c r="E10" s="633"/>
      <c r="F10" s="612"/>
      <c r="G10" s="612"/>
      <c r="H10" s="586" t="s">
        <v>412</v>
      </c>
      <c r="I10" s="586"/>
      <c r="J10" s="586"/>
      <c r="K10" s="586"/>
      <c r="L10" s="590"/>
    </row>
    <row r="11" spans="2:12" ht="23.5">
      <c r="B11" s="6"/>
      <c r="C11" s="585" t="str">
        <f>I19</f>
        <v xml:space="preserve">Improved thermal insulation (double-walled design) </v>
      </c>
      <c r="D11" s="569" t="s">
        <v>650</v>
      </c>
      <c r="E11" s="633"/>
      <c r="F11" s="612"/>
      <c r="G11" s="612"/>
      <c r="H11" s="612"/>
      <c r="I11" s="586" t="s">
        <v>412</v>
      </c>
      <c r="J11" s="586"/>
      <c r="K11" s="586"/>
      <c r="L11" s="590"/>
    </row>
    <row r="12" spans="2:12" ht="23.5">
      <c r="B12" s="6"/>
      <c r="C12" s="585" t="str">
        <f>J19</f>
        <v>Further substitution  of metals by polymers</v>
      </c>
      <c r="D12" s="569" t="s">
        <v>651</v>
      </c>
      <c r="E12" s="633"/>
      <c r="F12" s="612"/>
      <c r="G12" s="612"/>
      <c r="H12" s="612"/>
      <c r="I12" s="612"/>
      <c r="J12" s="586" t="s">
        <v>412</v>
      </c>
      <c r="K12" s="586"/>
      <c r="L12" s="590"/>
    </row>
    <row r="13" spans="2:12" ht="23.5">
      <c r="B13" s="6"/>
      <c r="C13" s="585" t="str">
        <f>K19</f>
        <v>Modular design and reuse of electronics</v>
      </c>
      <c r="D13" s="569" t="s">
        <v>652</v>
      </c>
      <c r="E13" s="633"/>
      <c r="F13" s="612"/>
      <c r="G13" s="612"/>
      <c r="H13" s="612"/>
      <c r="I13" s="612"/>
      <c r="J13" s="612"/>
      <c r="K13" s="586" t="s">
        <v>412</v>
      </c>
      <c r="L13" s="590"/>
    </row>
    <row r="14" spans="2:12" ht="24" thickBot="1">
      <c r="B14" s="6"/>
      <c r="C14" s="585" t="str">
        <f>L19</f>
        <v xml:space="preserve">Other relevant design option (stakeholder input)
</v>
      </c>
      <c r="D14" s="569" t="s">
        <v>682</v>
      </c>
      <c r="E14" s="634"/>
      <c r="F14" s="613"/>
      <c r="G14" s="613"/>
      <c r="H14" s="613"/>
      <c r="I14" s="613"/>
      <c r="J14" s="613"/>
      <c r="K14" s="613"/>
      <c r="L14" s="591"/>
    </row>
    <row r="15" spans="2:12" ht="24" thickBot="1">
      <c r="B15" s="6"/>
      <c r="C15"/>
      <c r="D15" s="592" t="s">
        <v>661</v>
      </c>
      <c r="E15" s="678"/>
      <c r="F15" s="679"/>
      <c r="G15" s="679"/>
      <c r="H15" s="679"/>
      <c r="I15" s="679"/>
      <c r="J15" s="679"/>
      <c r="K15" s="679"/>
      <c r="L15" s="680"/>
    </row>
    <row r="16" spans="2:12">
      <c r="C16"/>
    </row>
    <row r="17" spans="2:13">
      <c r="C17"/>
    </row>
    <row r="18" spans="2:13" s="554" customFormat="1" ht="28">
      <c r="B18" s="54" t="s">
        <v>630</v>
      </c>
      <c r="C18" s="54"/>
      <c r="D18" s="54"/>
      <c r="E18" s="53"/>
      <c r="F18" s="584" t="s">
        <v>640</v>
      </c>
      <c r="G18" s="584" t="s">
        <v>641</v>
      </c>
      <c r="H18" s="584" t="s">
        <v>642</v>
      </c>
      <c r="I18" s="584" t="s">
        <v>643</v>
      </c>
      <c r="J18" s="584" t="s">
        <v>644</v>
      </c>
      <c r="K18" s="584" t="s">
        <v>645</v>
      </c>
      <c r="L18" s="584" t="s">
        <v>684</v>
      </c>
      <c r="M18" s="594" t="s">
        <v>663</v>
      </c>
    </row>
    <row r="19" spans="2:13" s="14" customFormat="1" ht="56.5" thickBot="1">
      <c r="B19" s="682" t="s">
        <v>678</v>
      </c>
      <c r="C19" s="682"/>
      <c r="D19" s="682"/>
      <c r="E19" s="683"/>
      <c r="F19" s="597" t="str">
        <f>'Design options'!B3</f>
        <v>Exhaust heat recovery (regenerator)</v>
      </c>
      <c r="G19" s="597" t="str">
        <f>'Design options'!B4</f>
        <v>Exhaust air heat pump</v>
      </c>
      <c r="H19" s="597" t="str">
        <f>'Design options'!B5</f>
        <v>Automatic programme for load and soil recognition</v>
      </c>
      <c r="I19" s="597" t="str">
        <f>'Design options'!B6</f>
        <v xml:space="preserve">Improved thermal insulation (double-walled design) </v>
      </c>
      <c r="J19" s="597" t="str">
        <f>'Design options'!B7</f>
        <v>Further substitution  of metals by polymers</v>
      </c>
      <c r="K19" s="597" t="str">
        <f>'Design options'!B8</f>
        <v>Modular design and reuse of electronics</v>
      </c>
      <c r="L19" s="622" t="str">
        <f>'Design options'!B9</f>
        <v xml:space="preserve">Other relevant design option (stakeholder input)
</v>
      </c>
    </row>
    <row r="20" spans="2:13" customFormat="1" ht="28.5" thickBot="1">
      <c r="B20" s="57" t="s">
        <v>304</v>
      </c>
      <c r="C20" s="57" t="s">
        <v>305</v>
      </c>
      <c r="D20" s="57" t="s">
        <v>7</v>
      </c>
      <c r="E20" s="570" t="s">
        <v>503</v>
      </c>
      <c r="F20" s="578" t="s">
        <v>662</v>
      </c>
      <c r="G20" s="578" t="s">
        <v>662</v>
      </c>
      <c r="H20" s="578" t="s">
        <v>662</v>
      </c>
      <c r="I20" s="578" t="s">
        <v>662</v>
      </c>
      <c r="J20" s="578" t="s">
        <v>662</v>
      </c>
      <c r="K20" s="58" t="s">
        <v>662</v>
      </c>
      <c r="L20" s="58" t="s">
        <v>662</v>
      </c>
      <c r="M20" s="58" t="s">
        <v>662</v>
      </c>
    </row>
    <row r="21" spans="2:13" customFormat="1">
      <c r="B21" s="31" t="s">
        <v>259</v>
      </c>
      <c r="C21" s="61">
        <v>642.25</v>
      </c>
      <c r="D21" s="556" t="s">
        <v>309</v>
      </c>
      <c r="E21" s="571">
        <v>1</v>
      </c>
      <c r="F21" s="627"/>
      <c r="G21" s="627"/>
      <c r="H21" s="627"/>
      <c r="I21" s="627"/>
      <c r="J21" s="627"/>
      <c r="K21" s="627"/>
      <c r="L21" s="627"/>
      <c r="M21" s="628"/>
    </row>
    <row r="22" spans="2:13" customFormat="1">
      <c r="B22" s="31" t="s">
        <v>313</v>
      </c>
      <c r="C22" s="61">
        <v>55.5</v>
      </c>
      <c r="D22" s="556" t="s">
        <v>309</v>
      </c>
      <c r="E22" s="572">
        <v>1</v>
      </c>
      <c r="F22" s="614"/>
      <c r="G22" s="614"/>
      <c r="H22" s="614"/>
      <c r="I22" s="614"/>
      <c r="J22" s="614"/>
      <c r="K22" s="614"/>
      <c r="L22" s="614"/>
      <c r="M22" s="624"/>
    </row>
    <row r="23" spans="2:13" customFormat="1">
      <c r="B23" s="31" t="s">
        <v>316</v>
      </c>
      <c r="C23" s="61">
        <v>6.14</v>
      </c>
      <c r="D23" s="556" t="s">
        <v>309</v>
      </c>
      <c r="E23" s="572">
        <v>1</v>
      </c>
      <c r="F23" s="614"/>
      <c r="G23" s="614"/>
      <c r="H23" s="614"/>
      <c r="I23" s="614"/>
      <c r="J23" s="614"/>
      <c r="K23" s="614"/>
      <c r="L23" s="614"/>
      <c r="M23" s="624"/>
    </row>
    <row r="24" spans="2:13" customFormat="1">
      <c r="B24" s="31" t="s">
        <v>321</v>
      </c>
      <c r="C24" s="61">
        <v>4.5999999999999996</v>
      </c>
      <c r="D24" s="556" t="s">
        <v>309</v>
      </c>
      <c r="E24" s="572">
        <v>1</v>
      </c>
      <c r="F24" s="614"/>
      <c r="G24" s="614"/>
      <c r="H24" s="614"/>
      <c r="I24" s="614"/>
      <c r="J24" s="614"/>
      <c r="K24" s="614"/>
      <c r="L24" s="614"/>
      <c r="M24" s="624"/>
    </row>
    <row r="25" spans="2:13" customFormat="1">
      <c r="B25" s="31" t="s">
        <v>324</v>
      </c>
      <c r="C25" s="61">
        <v>4.43</v>
      </c>
      <c r="D25" s="556" t="s">
        <v>309</v>
      </c>
      <c r="E25" s="572">
        <v>1</v>
      </c>
      <c r="F25" s="614"/>
      <c r="G25" s="614"/>
      <c r="H25" s="614"/>
      <c r="I25" s="614"/>
      <c r="J25" s="614"/>
      <c r="K25" s="614"/>
      <c r="L25" s="614"/>
      <c r="M25" s="624"/>
    </row>
    <row r="26" spans="2:13" customFormat="1">
      <c r="B26" s="31" t="s">
        <v>319</v>
      </c>
      <c r="C26" s="61">
        <v>5</v>
      </c>
      <c r="D26" s="556" t="s">
        <v>309</v>
      </c>
      <c r="E26" s="572">
        <v>1</v>
      </c>
      <c r="F26" s="614"/>
      <c r="G26" s="614"/>
      <c r="H26" s="614"/>
      <c r="I26" s="614"/>
      <c r="J26" s="614"/>
      <c r="K26" s="614"/>
      <c r="L26" s="614"/>
      <c r="M26" s="624"/>
    </row>
    <row r="27" spans="2:13" customFormat="1">
      <c r="B27" s="31" t="s">
        <v>261</v>
      </c>
      <c r="C27" s="61">
        <v>16.824999999999999</v>
      </c>
      <c r="D27" s="556" t="s">
        <v>309</v>
      </c>
      <c r="E27" s="572">
        <v>1</v>
      </c>
      <c r="F27" s="614"/>
      <c r="G27" s="614"/>
      <c r="H27" s="614"/>
      <c r="I27" s="614"/>
      <c r="J27" s="614"/>
      <c r="K27" s="614"/>
      <c r="L27" s="614"/>
      <c r="M27" s="624"/>
    </row>
    <row r="28" spans="2:13" customFormat="1">
      <c r="B28" s="31" t="s">
        <v>262</v>
      </c>
      <c r="C28" s="61">
        <v>15.625</v>
      </c>
      <c r="D28" s="556" t="s">
        <v>309</v>
      </c>
      <c r="E28" s="572">
        <v>1</v>
      </c>
      <c r="F28" s="614"/>
      <c r="G28" s="614"/>
      <c r="H28" s="614"/>
      <c r="I28" s="614"/>
      <c r="J28" s="614"/>
      <c r="K28" s="614"/>
      <c r="L28" s="614"/>
      <c r="M28" s="624"/>
    </row>
    <row r="29" spans="2:13" customFormat="1">
      <c r="B29" s="31" t="s">
        <v>263</v>
      </c>
      <c r="C29" s="61">
        <v>12.335000000000001</v>
      </c>
      <c r="D29" s="556" t="s">
        <v>309</v>
      </c>
      <c r="E29" s="572">
        <v>1</v>
      </c>
      <c r="F29" s="614"/>
      <c r="G29" s="614"/>
      <c r="H29" s="614"/>
      <c r="I29" s="614"/>
      <c r="J29" s="614"/>
      <c r="K29" s="614"/>
      <c r="L29" s="614"/>
      <c r="M29" s="624"/>
    </row>
    <row r="30" spans="2:13" customFormat="1">
      <c r="B30" s="31" t="s">
        <v>264</v>
      </c>
      <c r="C30" s="61">
        <v>17.47</v>
      </c>
      <c r="D30" s="556" t="s">
        <v>309</v>
      </c>
      <c r="E30" s="572">
        <v>1</v>
      </c>
      <c r="F30" s="614"/>
      <c r="G30" s="614"/>
      <c r="H30" s="614"/>
      <c r="I30" s="614"/>
      <c r="J30" s="614"/>
      <c r="K30" s="614"/>
      <c r="L30" s="614"/>
      <c r="M30" s="624"/>
    </row>
    <row r="31" spans="2:13" customFormat="1">
      <c r="B31" s="31" t="s">
        <v>330</v>
      </c>
      <c r="C31" s="61">
        <v>4.72</v>
      </c>
      <c r="D31" s="556" t="s">
        <v>309</v>
      </c>
      <c r="E31" s="572">
        <v>1</v>
      </c>
      <c r="F31" s="614"/>
      <c r="G31" s="614"/>
      <c r="H31" s="614"/>
      <c r="I31" s="614"/>
      <c r="J31" s="614"/>
      <c r="K31" s="614"/>
      <c r="L31" s="614"/>
      <c r="M31" s="624"/>
    </row>
    <row r="32" spans="2:13" customFormat="1">
      <c r="B32" s="31" t="s">
        <v>333</v>
      </c>
      <c r="C32" s="61">
        <v>7.08</v>
      </c>
      <c r="D32" s="556" t="s">
        <v>309</v>
      </c>
      <c r="E32" s="572">
        <v>1</v>
      </c>
      <c r="F32" s="614"/>
      <c r="G32" s="614"/>
      <c r="H32" s="614"/>
      <c r="I32" s="614"/>
      <c r="J32" s="614"/>
      <c r="K32" s="614"/>
      <c r="L32" s="614"/>
      <c r="M32" s="624"/>
    </row>
    <row r="33" spans="2:16" customFormat="1">
      <c r="B33" s="31" t="s">
        <v>336</v>
      </c>
      <c r="C33" s="61">
        <v>17.440000000000001</v>
      </c>
      <c r="D33" s="556" t="s">
        <v>309</v>
      </c>
      <c r="E33" s="572">
        <v>1</v>
      </c>
      <c r="F33" s="614"/>
      <c r="G33" s="614"/>
      <c r="H33" s="614"/>
      <c r="I33" s="614"/>
      <c r="J33" s="614"/>
      <c r="K33" s="614"/>
      <c r="L33" s="614"/>
      <c r="M33" s="624"/>
    </row>
    <row r="34" spans="2:16" customFormat="1">
      <c r="B34" s="31" t="s">
        <v>340</v>
      </c>
      <c r="C34" s="61">
        <v>10.16</v>
      </c>
      <c r="D34" s="556" t="s">
        <v>309</v>
      </c>
      <c r="E34" s="572">
        <v>1</v>
      </c>
      <c r="F34" s="614"/>
      <c r="G34" s="614"/>
      <c r="H34" s="614"/>
      <c r="I34" s="614"/>
      <c r="J34" s="614"/>
      <c r="K34" s="614"/>
      <c r="L34" s="614"/>
      <c r="M34" s="624"/>
    </row>
    <row r="35" spans="2:16" customFormat="1">
      <c r="B35" s="31" t="s">
        <v>344</v>
      </c>
      <c r="C35" s="61">
        <v>4</v>
      </c>
      <c r="D35" s="556" t="s">
        <v>309</v>
      </c>
      <c r="E35" s="572">
        <v>1</v>
      </c>
      <c r="F35" s="614"/>
      <c r="G35" s="614"/>
      <c r="H35" s="614"/>
      <c r="I35" s="614"/>
      <c r="J35" s="614"/>
      <c r="K35" s="614"/>
      <c r="L35" s="614"/>
      <c r="M35" s="624"/>
    </row>
    <row r="36" spans="2:16" customFormat="1">
      <c r="B36" s="31" t="s">
        <v>345</v>
      </c>
      <c r="C36" s="61">
        <v>5</v>
      </c>
      <c r="D36" s="556" t="s">
        <v>309</v>
      </c>
      <c r="E36" s="572">
        <v>1</v>
      </c>
      <c r="F36" s="614"/>
      <c r="G36" s="614"/>
      <c r="H36" s="614"/>
      <c r="I36" s="614"/>
      <c r="J36" s="614"/>
      <c r="K36" s="614"/>
      <c r="L36" s="614"/>
      <c r="M36" s="624"/>
    </row>
    <row r="37" spans="2:16" customFormat="1">
      <c r="B37" s="31" t="s">
        <v>265</v>
      </c>
      <c r="C37" s="61">
        <v>16.3</v>
      </c>
      <c r="D37" s="556" t="s">
        <v>309</v>
      </c>
      <c r="E37" s="572">
        <v>1</v>
      </c>
      <c r="F37" s="614"/>
      <c r="G37" s="614"/>
      <c r="H37" s="614"/>
      <c r="I37" s="614"/>
      <c r="J37" s="614"/>
      <c r="K37" s="614"/>
      <c r="L37" s="614"/>
      <c r="M37" s="624"/>
    </row>
    <row r="38" spans="2:16" customFormat="1">
      <c r="B38" s="31" t="s">
        <v>332</v>
      </c>
      <c r="C38" s="61">
        <v>8.64</v>
      </c>
      <c r="D38" s="556" t="s">
        <v>309</v>
      </c>
      <c r="E38" s="572">
        <v>1</v>
      </c>
      <c r="F38" s="614"/>
      <c r="G38" s="614"/>
      <c r="H38" s="614"/>
      <c r="I38" s="614"/>
      <c r="J38" s="614"/>
      <c r="K38" s="614"/>
      <c r="L38" s="614"/>
      <c r="M38" s="624"/>
    </row>
    <row r="39" spans="2:16" customFormat="1">
      <c r="B39" s="31" t="s">
        <v>335</v>
      </c>
      <c r="C39" s="61">
        <v>5.17</v>
      </c>
      <c r="D39" s="556" t="s">
        <v>309</v>
      </c>
      <c r="E39" s="572">
        <v>1</v>
      </c>
      <c r="F39" s="614"/>
      <c r="G39" s="614"/>
      <c r="H39" s="614"/>
      <c r="I39" s="614"/>
      <c r="J39" s="614"/>
      <c r="K39" s="614"/>
      <c r="L39" s="614"/>
      <c r="M39" s="624"/>
    </row>
    <row r="40" spans="2:16" s="554" customFormat="1">
      <c r="B40" s="552" t="s">
        <v>351</v>
      </c>
      <c r="C40" s="553">
        <v>10</v>
      </c>
      <c r="D40" s="557" t="s">
        <v>309</v>
      </c>
      <c r="E40" s="572">
        <v>1</v>
      </c>
      <c r="F40" s="614"/>
      <c r="G40" s="614"/>
      <c r="H40" s="614"/>
      <c r="I40" s="614"/>
      <c r="J40" s="614"/>
      <c r="K40" s="614"/>
      <c r="L40" s="614"/>
      <c r="M40" s="624"/>
    </row>
    <row r="41" spans="2:16" customFormat="1">
      <c r="B41" s="31" t="s">
        <v>342</v>
      </c>
      <c r="C41" s="61">
        <v>12.8</v>
      </c>
      <c r="D41" s="557" t="s">
        <v>309</v>
      </c>
      <c r="E41" s="572">
        <v>1</v>
      </c>
      <c r="F41" s="614"/>
      <c r="G41" s="614"/>
      <c r="H41" s="614"/>
      <c r="I41" s="614"/>
      <c r="J41" s="614"/>
      <c r="K41" s="614"/>
      <c r="L41" s="614"/>
      <c r="M41" s="624"/>
    </row>
    <row r="42" spans="2:16" customFormat="1">
      <c r="B42" s="31" t="s">
        <v>338</v>
      </c>
      <c r="C42" s="61">
        <v>3.1818181818181821</v>
      </c>
      <c r="D42" s="556" t="s">
        <v>493</v>
      </c>
      <c r="E42" s="572">
        <v>1</v>
      </c>
      <c r="F42" s="614"/>
      <c r="G42" s="614"/>
      <c r="H42" s="614"/>
      <c r="I42" s="614"/>
      <c r="J42" s="614"/>
      <c r="K42" s="614"/>
      <c r="L42" s="614"/>
      <c r="M42" s="624"/>
    </row>
    <row r="43" spans="2:16" customFormat="1">
      <c r="B43" s="31">
        <v>0</v>
      </c>
      <c r="C43" s="61">
        <v>0</v>
      </c>
      <c r="D43" s="556">
        <v>0</v>
      </c>
      <c r="E43" s="572">
        <v>1</v>
      </c>
      <c r="F43" s="614"/>
      <c r="G43" s="614"/>
      <c r="H43" s="614"/>
      <c r="I43" s="614"/>
      <c r="J43" s="614"/>
      <c r="K43" s="614"/>
      <c r="L43" s="614"/>
      <c r="M43" s="624"/>
    </row>
    <row r="44" spans="2:16" customFormat="1">
      <c r="B44" s="31">
        <v>0</v>
      </c>
      <c r="C44" s="61">
        <v>0</v>
      </c>
      <c r="D44" s="556">
        <v>0</v>
      </c>
      <c r="E44" s="572">
        <v>1</v>
      </c>
      <c r="F44" s="614"/>
      <c r="G44" s="614"/>
      <c r="H44" s="614"/>
      <c r="I44" s="614"/>
      <c r="J44" s="614"/>
      <c r="K44" s="614"/>
      <c r="L44" s="614"/>
      <c r="M44" s="624"/>
    </row>
    <row r="45" spans="2:16" customFormat="1" ht="14.5" thickBot="1">
      <c r="B45" s="68">
        <v>0</v>
      </c>
      <c r="C45" s="69">
        <v>0</v>
      </c>
      <c r="D45" s="559">
        <v>0</v>
      </c>
      <c r="E45" s="573">
        <v>1</v>
      </c>
      <c r="F45" s="629"/>
      <c r="G45" s="629"/>
      <c r="H45" s="629"/>
      <c r="I45" s="629"/>
      <c r="J45" s="629"/>
      <c r="K45" s="629"/>
      <c r="L45" s="629"/>
      <c r="M45" s="630"/>
    </row>
    <row r="46" spans="2:16" customFormat="1" ht="14.5" thickBot="1">
      <c r="B46" s="74" t="s">
        <v>353</v>
      </c>
      <c r="C46" s="75">
        <v>891.28499999999997</v>
      </c>
      <c r="D46" s="211" t="s">
        <v>309</v>
      </c>
      <c r="E46" s="574">
        <v>1</v>
      </c>
      <c r="F46" s="574"/>
      <c r="G46" s="574"/>
      <c r="H46" s="574"/>
      <c r="I46" s="574"/>
      <c r="J46" s="574"/>
      <c r="K46" s="560"/>
      <c r="L46" s="560"/>
      <c r="M46" s="560"/>
    </row>
    <row r="47" spans="2:16" customFormat="1" ht="24" thickBot="1">
      <c r="B47" s="3"/>
      <c r="C47" s="6"/>
      <c r="E47" s="592" t="s">
        <v>661</v>
      </c>
      <c r="F47" s="678"/>
      <c r="G47" s="679"/>
      <c r="H47" s="679"/>
      <c r="I47" s="679"/>
      <c r="J47" s="679"/>
      <c r="K47" s="679"/>
      <c r="L47" s="680"/>
      <c r="M47" s="593"/>
    </row>
    <row r="48" spans="2:16" customFormat="1">
      <c r="B48" s="5"/>
      <c r="C48" s="7"/>
      <c r="D48" s="8"/>
      <c r="E48" s="8"/>
      <c r="F48" s="8"/>
      <c r="G48" s="580"/>
      <c r="H48" s="581"/>
      <c r="I48" s="114"/>
      <c r="J48" s="114"/>
      <c r="K48" s="581"/>
      <c r="L48" s="581"/>
      <c r="M48" s="5"/>
      <c r="N48" s="5"/>
      <c r="O48" s="5"/>
      <c r="P48" s="4"/>
    </row>
    <row r="49" spans="1:16" customFormat="1">
      <c r="B49" s="5"/>
      <c r="C49" s="7"/>
      <c r="D49" s="8"/>
      <c r="E49" s="8"/>
      <c r="F49" s="8"/>
      <c r="G49" s="580"/>
      <c r="H49" s="581"/>
      <c r="I49" s="114"/>
      <c r="J49" s="114"/>
      <c r="K49" s="581"/>
      <c r="L49" s="581"/>
      <c r="M49" s="5"/>
      <c r="N49" s="5"/>
      <c r="O49" s="5"/>
      <c r="P49" s="4"/>
    </row>
    <row r="50" spans="1:16" s="567" customFormat="1" ht="28">
      <c r="B50" s="54" t="s">
        <v>631</v>
      </c>
      <c r="C50" s="99"/>
      <c r="D50" s="54"/>
      <c r="E50" s="54"/>
      <c r="F50" s="584" t="s">
        <v>634</v>
      </c>
      <c r="G50" s="584" t="s">
        <v>635</v>
      </c>
      <c r="H50" s="584" t="s">
        <v>636</v>
      </c>
      <c r="I50" s="584" t="s">
        <v>637</v>
      </c>
      <c r="J50" s="584" t="s">
        <v>638</v>
      </c>
      <c r="K50" s="584" t="s">
        <v>639</v>
      </c>
      <c r="L50" s="584" t="s">
        <v>684</v>
      </c>
      <c r="M50" s="594" t="s">
        <v>663</v>
      </c>
    </row>
    <row r="51" spans="1:16" s="147" customFormat="1" ht="56.5" thickBot="1">
      <c r="B51" s="682" t="s">
        <v>677</v>
      </c>
      <c r="C51" s="682"/>
      <c r="D51" s="682"/>
      <c r="E51" s="683"/>
      <c r="F51" s="595" t="str">
        <f>F19</f>
        <v>Exhaust heat recovery (regenerator)</v>
      </c>
      <c r="G51" s="595" t="str">
        <f t="shared" ref="G51:L51" si="1">G19</f>
        <v>Exhaust air heat pump</v>
      </c>
      <c r="H51" s="595" t="str">
        <f t="shared" si="1"/>
        <v>Automatic programme for load and soil recognition</v>
      </c>
      <c r="I51" s="595" t="str">
        <f t="shared" si="1"/>
        <v xml:space="preserve">Improved thermal insulation (double-walled design) </v>
      </c>
      <c r="J51" s="595" t="str">
        <f t="shared" si="1"/>
        <v>Further substitution  of metals by polymers</v>
      </c>
      <c r="K51" s="595" t="str">
        <f t="shared" si="1"/>
        <v>Modular design and reuse of electronics</v>
      </c>
      <c r="L51" s="595" t="str">
        <f t="shared" si="1"/>
        <v xml:space="preserve">Other relevant design option (stakeholder input)
</v>
      </c>
      <c r="M51" s="596"/>
    </row>
    <row r="52" spans="1:16" s="114" customFormat="1" ht="28.5" thickBot="1">
      <c r="B52" s="555" t="s">
        <v>667</v>
      </c>
      <c r="C52" s="18" t="s">
        <v>305</v>
      </c>
      <c r="D52" s="18" t="s">
        <v>7</v>
      </c>
      <c r="E52" s="575" t="s">
        <v>503</v>
      </c>
      <c r="F52" s="578" t="s">
        <v>662</v>
      </c>
      <c r="G52" s="578" t="s">
        <v>662</v>
      </c>
      <c r="H52" s="578" t="s">
        <v>662</v>
      </c>
      <c r="I52" s="578" t="s">
        <v>662</v>
      </c>
      <c r="J52" s="578" t="s">
        <v>662</v>
      </c>
      <c r="K52" s="58" t="s">
        <v>662</v>
      </c>
      <c r="L52" s="58" t="s">
        <v>662</v>
      </c>
      <c r="M52" s="58" t="s">
        <v>662</v>
      </c>
    </row>
    <row r="53" spans="1:16" s="114" customFormat="1">
      <c r="B53" s="30"/>
      <c r="C53" s="565"/>
      <c r="D53" s="566"/>
      <c r="E53" s="571"/>
      <c r="F53" s="639"/>
      <c r="G53" s="640"/>
      <c r="H53" s="640"/>
      <c r="I53" s="640"/>
      <c r="J53" s="640"/>
      <c r="K53" s="640"/>
      <c r="L53" s="640"/>
      <c r="M53" s="637"/>
    </row>
    <row r="54" spans="1:16" ht="28">
      <c r="B54" s="30" t="s">
        <v>626</v>
      </c>
      <c r="C54" s="600">
        <v>2.88</v>
      </c>
      <c r="D54" s="598" t="s">
        <v>57</v>
      </c>
      <c r="E54" s="571">
        <v>1</v>
      </c>
      <c r="F54" s="611"/>
      <c r="G54" s="612"/>
      <c r="H54" s="612"/>
      <c r="I54" s="612"/>
      <c r="J54" s="612"/>
      <c r="K54" s="612"/>
      <c r="L54" s="612"/>
      <c r="M54" s="624"/>
    </row>
    <row r="55" spans="1:16" s="4" customFormat="1" ht="28">
      <c r="B55" s="458" t="s">
        <v>627</v>
      </c>
      <c r="C55" s="604">
        <v>22</v>
      </c>
      <c r="D55" s="599" t="s">
        <v>59</v>
      </c>
      <c r="E55" s="572">
        <v>1</v>
      </c>
      <c r="F55" s="641"/>
      <c r="G55" s="615"/>
      <c r="H55" s="615"/>
      <c r="I55" s="615"/>
      <c r="J55" s="615"/>
      <c r="K55" s="615"/>
      <c r="L55" s="615"/>
      <c r="M55" s="624"/>
    </row>
    <row r="56" spans="1:16" s="4" customFormat="1" ht="28">
      <c r="B56" s="458" t="s">
        <v>629</v>
      </c>
      <c r="C56" s="605">
        <v>51</v>
      </c>
      <c r="D56" s="564" t="s">
        <v>60</v>
      </c>
      <c r="E56" s="572">
        <v>1</v>
      </c>
      <c r="F56" s="641"/>
      <c r="G56" s="615"/>
      <c r="H56" s="615"/>
      <c r="I56" s="615"/>
      <c r="J56" s="615"/>
      <c r="K56" s="615"/>
      <c r="L56" s="615"/>
      <c r="M56" s="624"/>
    </row>
    <row r="57" spans="1:16" s="4" customFormat="1" ht="28.5" thickBot="1">
      <c r="B57" s="458" t="s">
        <v>628</v>
      </c>
      <c r="C57" s="605">
        <v>5</v>
      </c>
      <c r="D57" s="564" t="s">
        <v>60</v>
      </c>
      <c r="E57" s="572">
        <v>1</v>
      </c>
      <c r="F57" s="642"/>
      <c r="G57" s="643"/>
      <c r="H57" s="643"/>
      <c r="I57" s="643"/>
      <c r="J57" s="643"/>
      <c r="K57" s="643"/>
      <c r="L57" s="643"/>
      <c r="M57" s="638"/>
    </row>
    <row r="58" spans="1:16" customFormat="1" ht="89.5" thickBot="1">
      <c r="B58" s="601" t="s">
        <v>668</v>
      </c>
      <c r="C58" s="6"/>
      <c r="E58" s="592" t="s">
        <v>661</v>
      </c>
      <c r="F58" s="678"/>
      <c r="G58" s="679"/>
      <c r="H58" s="679"/>
      <c r="I58" s="679"/>
      <c r="J58" s="679"/>
      <c r="K58" s="679"/>
      <c r="L58" s="680"/>
      <c r="M58" s="593"/>
    </row>
    <row r="61" spans="1:16" s="567" customFormat="1" ht="28">
      <c r="A61" s="568"/>
      <c r="B61" s="576" t="s">
        <v>632</v>
      </c>
      <c r="C61" s="577"/>
      <c r="D61" s="576"/>
      <c r="E61" s="577"/>
      <c r="F61" s="584" t="s">
        <v>634</v>
      </c>
      <c r="G61" s="584" t="s">
        <v>635</v>
      </c>
      <c r="H61" s="584" t="s">
        <v>636</v>
      </c>
      <c r="I61" s="584" t="s">
        <v>637</v>
      </c>
      <c r="J61" s="584" t="s">
        <v>638</v>
      </c>
      <c r="K61" s="584" t="s">
        <v>639</v>
      </c>
      <c r="L61" s="584" t="s">
        <v>684</v>
      </c>
      <c r="M61" s="594" t="s">
        <v>663</v>
      </c>
    </row>
    <row r="62" spans="1:16" s="147" customFormat="1" ht="56.5" thickBot="1">
      <c r="B62" s="682" t="s">
        <v>679</v>
      </c>
      <c r="C62" s="682"/>
      <c r="D62" s="682"/>
      <c r="E62" s="683"/>
      <c r="F62" s="595" t="str">
        <f>F19</f>
        <v>Exhaust heat recovery (regenerator)</v>
      </c>
      <c r="G62" s="595" t="str">
        <f t="shared" ref="G62:L62" si="2">G19</f>
        <v>Exhaust air heat pump</v>
      </c>
      <c r="H62" s="595" t="str">
        <f t="shared" si="2"/>
        <v>Automatic programme for load and soil recognition</v>
      </c>
      <c r="I62" s="595" t="str">
        <f t="shared" si="2"/>
        <v xml:space="preserve">Improved thermal insulation (double-walled design) </v>
      </c>
      <c r="J62" s="595" t="str">
        <f t="shared" si="2"/>
        <v>Further substitution  of metals by polymers</v>
      </c>
      <c r="K62" s="595" t="str">
        <f t="shared" si="2"/>
        <v>Modular design and reuse of electronics</v>
      </c>
      <c r="L62" s="595" t="str">
        <f t="shared" si="2"/>
        <v xml:space="preserve">Other relevant design option (stakeholder input)
</v>
      </c>
      <c r="M62" s="596"/>
    </row>
    <row r="63" spans="1:16" ht="28.5" thickBot="1">
      <c r="B63" s="561" t="s">
        <v>573</v>
      </c>
      <c r="C63" s="562" t="s">
        <v>305</v>
      </c>
      <c r="D63" s="561" t="s">
        <v>7</v>
      </c>
      <c r="E63" s="575" t="s">
        <v>503</v>
      </c>
      <c r="F63" s="578" t="s">
        <v>662</v>
      </c>
      <c r="G63" s="578" t="s">
        <v>662</v>
      </c>
      <c r="H63" s="578" t="s">
        <v>662</v>
      </c>
      <c r="I63" s="578" t="s">
        <v>662</v>
      </c>
      <c r="J63" s="578" t="s">
        <v>662</v>
      </c>
      <c r="K63" s="58" t="s">
        <v>662</v>
      </c>
      <c r="L63" s="58" t="s">
        <v>662</v>
      </c>
      <c r="M63" s="58" t="s">
        <v>662</v>
      </c>
    </row>
    <row r="64" spans="1:16">
      <c r="A64" s="4"/>
      <c r="B64" s="47" t="s">
        <v>416</v>
      </c>
      <c r="C64" s="273">
        <v>11</v>
      </c>
      <c r="D64" s="47" t="str">
        <f>'Input use - economics'!D36</f>
        <v>years</v>
      </c>
      <c r="E64" s="571">
        <v>1</v>
      </c>
      <c r="F64" s="612"/>
      <c r="G64" s="612"/>
      <c r="H64" s="612"/>
      <c r="I64" s="612"/>
      <c r="J64" s="612"/>
      <c r="K64" s="612"/>
      <c r="L64" s="623"/>
      <c r="M64" s="616"/>
    </row>
    <row r="65" spans="1:13" ht="14.5" thickBot="1">
      <c r="A65" s="4"/>
      <c r="B65" s="33" t="s">
        <v>422</v>
      </c>
      <c r="C65" s="452">
        <v>13394.494999999999</v>
      </c>
      <c r="D65" s="33" t="str">
        <f>'Input use - economics'!D40</f>
        <v>Euro/unit</v>
      </c>
      <c r="E65" s="571">
        <v>1</v>
      </c>
      <c r="F65" s="644"/>
      <c r="G65" s="644"/>
      <c r="H65" s="644"/>
      <c r="I65" s="644"/>
      <c r="J65" s="644"/>
      <c r="K65" s="644"/>
      <c r="L65" s="645"/>
      <c r="M65" s="617"/>
    </row>
    <row r="66" spans="1:13" customFormat="1" ht="24" thickBot="1">
      <c r="B66" s="3"/>
      <c r="C66" s="6"/>
      <c r="E66" s="592" t="s">
        <v>661</v>
      </c>
      <c r="F66" s="678"/>
      <c r="G66" s="679"/>
      <c r="H66" s="679"/>
      <c r="I66" s="679"/>
      <c r="J66" s="679"/>
      <c r="K66" s="679"/>
      <c r="L66" s="680"/>
      <c r="M66" s="593"/>
    </row>
    <row r="68" spans="1:13">
      <c r="C68"/>
      <c r="D68" s="461"/>
      <c r="E68" s="461"/>
      <c r="F68" s="582"/>
      <c r="G68" s="583"/>
    </row>
  </sheetData>
  <mergeCells count="8">
    <mergeCell ref="F66:L66"/>
    <mergeCell ref="B5:E5"/>
    <mergeCell ref="B19:E19"/>
    <mergeCell ref="B51:E51"/>
    <mergeCell ref="B62:E62"/>
    <mergeCell ref="E15:L15"/>
    <mergeCell ref="F47:L47"/>
    <mergeCell ref="F58:L58"/>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6975490-6BD7-498C-AFB0-0FF694F8CE1A}">
          <x14:formula1>
            <xm:f>Lists!$B$2:$B$3</xm:f>
          </x14:formula1>
          <xm:sqref>E8:E14</xm:sqref>
        </x14:dataValidation>
        <x14:dataValidation type="list" allowBlank="1" showInputMessage="1" showErrorMessage="1" xr:uid="{AF19605C-DEF0-4E32-903F-FF4A4C8CA8ED}">
          <x14:formula1>
            <xm:f>Lists!$B$10:$B$12</xm:f>
          </x14:formula1>
          <xm:sqref>F9:F14 G10:G14 H11:H14 I12:I14 J13:J14 K14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5E391-78F1-4610-BD71-F9806F7E629F}">
  <sheetPr>
    <tabColor theme="5"/>
  </sheetPr>
  <dimension ref="A1:P204"/>
  <sheetViews>
    <sheetView topLeftCell="A159" zoomScale="90" zoomScaleNormal="90" workbookViewId="0">
      <selection activeCell="C183" sqref="C183"/>
    </sheetView>
  </sheetViews>
  <sheetFormatPr baseColWidth="10" defaultColWidth="8.75" defaultRowHeight="14"/>
  <cols>
    <col min="1" max="1" width="5" style="3" customWidth="1"/>
    <col min="2" max="2" width="46.25" style="3" customWidth="1"/>
    <col min="3" max="3" width="12.25" style="3" customWidth="1"/>
    <col min="4" max="4" width="15.1640625" style="3" customWidth="1"/>
    <col min="5" max="5" width="17.25" style="3" customWidth="1"/>
    <col min="6" max="6" width="22.5" style="3" customWidth="1"/>
    <col min="7" max="7" width="31.5" style="3" customWidth="1"/>
    <col min="8" max="8" width="43.4140625" style="3" customWidth="1"/>
    <col min="9" max="9" width="17.5" style="3" customWidth="1"/>
    <col min="10" max="10" width="45.75" style="3" customWidth="1"/>
    <col min="11" max="11" width="24.5" style="3" customWidth="1"/>
    <col min="12" max="12" width="24.25" style="3" customWidth="1"/>
    <col min="13" max="13" width="18.75" style="3" customWidth="1"/>
    <col min="14" max="14" width="26.83203125" style="3" customWidth="1"/>
    <col min="15" max="15" width="102.83203125" style="3" customWidth="1"/>
    <col min="16" max="16" width="88.25" style="3" customWidth="1"/>
    <col min="17" max="16384" width="8.75" style="3"/>
  </cols>
  <sheetData>
    <row r="1" spans="2:16" ht="23.5">
      <c r="B1" s="6" t="s">
        <v>443</v>
      </c>
      <c r="C1"/>
    </row>
    <row r="2" spans="2:16">
      <c r="B2" s="15" t="s">
        <v>444</v>
      </c>
      <c r="C2"/>
    </row>
    <row r="3" spans="2:16">
      <c r="B3" s="16" t="s">
        <v>445</v>
      </c>
      <c r="C3"/>
    </row>
    <row r="4" spans="2:16">
      <c r="C4"/>
    </row>
    <row r="5" spans="2:16" ht="14.5" thickBot="1">
      <c r="B5"/>
      <c r="C5"/>
    </row>
    <row r="6" spans="2:16" ht="14.5" thickBot="1">
      <c r="B6" s="693" t="s">
        <v>446</v>
      </c>
      <c r="C6" s="694"/>
      <c r="D6" s="694"/>
      <c r="E6" s="694"/>
      <c r="F6" s="694"/>
      <c r="G6" s="694"/>
      <c r="H6" s="694"/>
      <c r="I6" s="695"/>
    </row>
    <row r="7" spans="2:16" ht="14.5">
      <c r="B7" s="270" t="s">
        <v>447</v>
      </c>
      <c r="C7" s="696" t="str">
        <f>'Input BoM- Manufacturing'!$Z$4</f>
        <v>Base case 5</v>
      </c>
      <c r="D7" s="696"/>
      <c r="E7" s="696"/>
      <c r="F7" s="696"/>
      <c r="G7" s="696"/>
      <c r="H7" s="696"/>
      <c r="I7" s="696"/>
    </row>
    <row r="8" spans="2:16" ht="14.5">
      <c r="B8" s="271" t="s">
        <v>448</v>
      </c>
      <c r="C8" s="697" t="str">
        <f>'Input BoM- Manufacturing'!$Z$5</f>
        <v>One-tank conveyor-type dishwashers</v>
      </c>
      <c r="D8" s="697"/>
      <c r="E8" s="697"/>
      <c r="F8" s="697"/>
      <c r="G8" s="697"/>
      <c r="H8" s="697"/>
      <c r="I8" s="697"/>
    </row>
    <row r="9" spans="2:16" ht="14.5">
      <c r="B9" s="173" t="s">
        <v>449</v>
      </c>
      <c r="C9" s="697" t="s">
        <v>450</v>
      </c>
      <c r="D9" s="697"/>
      <c r="E9" s="697"/>
      <c r="F9" s="697"/>
      <c r="G9" s="697"/>
      <c r="H9" s="697"/>
      <c r="I9" s="697"/>
    </row>
    <row r="10" spans="2:16" ht="15" thickBot="1">
      <c r="B10" s="272" t="s">
        <v>451</v>
      </c>
      <c r="C10" s="698" t="s">
        <v>452</v>
      </c>
      <c r="D10" s="698"/>
      <c r="E10" s="698"/>
      <c r="F10" s="698"/>
      <c r="G10" s="698"/>
      <c r="H10" s="698"/>
      <c r="I10" s="698"/>
    </row>
    <row r="12" spans="2:16" s="53" customFormat="1" ht="21">
      <c r="B12" s="54" t="s">
        <v>453</v>
      </c>
      <c r="C12" s="54"/>
      <c r="D12" s="54"/>
      <c r="G12" s="99"/>
    </row>
    <row r="13" spans="2:16" customFormat="1" ht="15.65" customHeight="1">
      <c r="C13" s="1"/>
      <c r="D13" s="1"/>
      <c r="G13" s="3"/>
    </row>
    <row r="14" spans="2:16" customFormat="1" ht="15" thickBot="1">
      <c r="B14" s="13"/>
      <c r="G14" s="3"/>
    </row>
    <row r="15" spans="2:16" customFormat="1" ht="15" thickBot="1">
      <c r="B15" s="13" t="s">
        <v>601</v>
      </c>
      <c r="D15" s="79" t="s">
        <v>454</v>
      </c>
      <c r="G15" s="3"/>
      <c r="N15" s="13" t="s">
        <v>455</v>
      </c>
    </row>
    <row r="16" spans="2:16" customFormat="1" ht="28.5" thickBot="1">
      <c r="B16" s="57" t="s">
        <v>304</v>
      </c>
      <c r="C16" s="57" t="s">
        <v>305</v>
      </c>
      <c r="D16" s="57" t="s">
        <v>7</v>
      </c>
      <c r="E16" s="57" t="s">
        <v>306</v>
      </c>
      <c r="F16" s="57" t="s">
        <v>307</v>
      </c>
      <c r="G16" s="58" t="s">
        <v>456</v>
      </c>
      <c r="H16" s="58" t="s">
        <v>457</v>
      </c>
      <c r="I16" s="57" t="s">
        <v>458</v>
      </c>
      <c r="J16" s="57" t="s">
        <v>459</v>
      </c>
      <c r="K16" s="57" t="s">
        <v>460</v>
      </c>
      <c r="L16" s="57" t="s">
        <v>461</v>
      </c>
      <c r="M16" s="17" t="s">
        <v>462</v>
      </c>
      <c r="N16" s="40" t="s">
        <v>463</v>
      </c>
      <c r="O16" s="57" t="s">
        <v>464</v>
      </c>
      <c r="P16" s="57" t="s">
        <v>465</v>
      </c>
    </row>
    <row r="17" spans="2:16" customFormat="1" ht="14.5">
      <c r="B17" s="31" t="str">
        <f>'Input BoM- Manufacturing'!Z7</f>
        <v>Stainless steel</v>
      </c>
      <c r="C17" s="61">
        <f>'Input BoM- Manufacturing'!AA7</f>
        <v>642.25</v>
      </c>
      <c r="D17" s="208" t="str">
        <f>'Input BoM- Manufacturing'!AB7</f>
        <v>kg</v>
      </c>
      <c r="E17" s="59">
        <f>'Input BoM- Manufacturing'!AC7</f>
        <v>0.72058881278154574</v>
      </c>
      <c r="F17" s="208" t="str">
        <f>'Input BoM- Manufacturing'!AD7</f>
        <v>3-Ferrous</v>
      </c>
      <c r="G17" s="169" t="s">
        <v>466</v>
      </c>
      <c r="H17" s="62" t="str">
        <f>IF(G17="Yes", "Default","")</f>
        <v>Default</v>
      </c>
      <c r="I17" s="33" t="s">
        <v>467</v>
      </c>
      <c r="J17" s="31" t="str">
        <f>IF(I17="Stakeholder input","High quality",IF(I17="Previous study","Medium quality",IF(I17="Literature","Medium quality",IF(I17="Googling","Fair quality",IF(I17="Scientific literature","High quality",IF(I17="Expert judgement","Medium quality",""))))))</f>
        <v>Medium quality</v>
      </c>
      <c r="K17" s="31"/>
      <c r="L17" s="36" t="s">
        <v>496</v>
      </c>
      <c r="M17" s="35"/>
      <c r="N17" s="39"/>
      <c r="O17" s="31" t="s">
        <v>468</v>
      </c>
      <c r="P17" s="31" t="s">
        <v>469</v>
      </c>
    </row>
    <row r="18" spans="2:16" customFormat="1" ht="14.5">
      <c r="B18" s="31" t="str">
        <f>'Input BoM- Manufacturing'!Z8</f>
        <v>Polypropylene (PP)</v>
      </c>
      <c r="C18" s="61">
        <f>'Input BoM- Manufacturing'!AA8</f>
        <v>55.5</v>
      </c>
      <c r="D18" s="208" t="str">
        <f>'Input BoM- Manufacturing'!AB8</f>
        <v>kg</v>
      </c>
      <c r="E18" s="59">
        <f>'Input BoM- Manufacturing'!AC8</f>
        <v>6.2269644389841637E-2</v>
      </c>
      <c r="F18" s="208" t="str">
        <f>'Input BoM- Manufacturing'!AD8</f>
        <v>1-BlkPlastics</v>
      </c>
      <c r="G18" s="169"/>
      <c r="H18" s="62" t="str">
        <f t="shared" ref="H18:H40" si="0">IF(G18="Yes", "Default","")</f>
        <v/>
      </c>
      <c r="I18" s="33"/>
      <c r="J18" s="31" t="str">
        <f t="shared" ref="J18:J38" si="1">IF(I18="Stakeholder input","High quality",IF(I18="Previous study","Medium quality",IF(I18="Literature","Medium quality",IF(I18="Googling","Fair quality",IF(I18="Scientific literature","High quality",IF(I18="Expert judgement","Medium quality",""))))))</f>
        <v/>
      </c>
      <c r="K18" s="31"/>
      <c r="L18" s="36"/>
      <c r="M18" s="35"/>
      <c r="N18" s="39"/>
      <c r="O18" s="31" t="s">
        <v>470</v>
      </c>
      <c r="P18" s="31" t="s">
        <v>471</v>
      </c>
    </row>
    <row r="19" spans="2:16" customFormat="1" ht="14.5">
      <c r="B19" s="31" t="str">
        <f>'Input BoM- Manufacturing'!Z9</f>
        <v>Polyamide (PA)</v>
      </c>
      <c r="C19" s="61">
        <f>'Input BoM- Manufacturing'!AA9</f>
        <v>6.14</v>
      </c>
      <c r="D19" s="208" t="str">
        <f>'Input BoM- Manufacturing'!AB9</f>
        <v>kg</v>
      </c>
      <c r="E19" s="59">
        <f>'Input BoM- Manufacturing'!AC9</f>
        <v>6.8889300279932906E-3</v>
      </c>
      <c r="F19" s="208" t="str">
        <f>'Input BoM- Manufacturing'!AD9</f>
        <v>2-TecPlastics</v>
      </c>
      <c r="G19" s="169"/>
      <c r="H19" s="62" t="str">
        <f t="shared" si="0"/>
        <v/>
      </c>
      <c r="I19" s="33"/>
      <c r="J19" s="31" t="str">
        <f t="shared" si="1"/>
        <v/>
      </c>
      <c r="K19" s="31" t="s">
        <v>472</v>
      </c>
      <c r="L19" s="36"/>
      <c r="M19" s="35"/>
      <c r="N19" s="39"/>
      <c r="O19" s="31" t="s">
        <v>473</v>
      </c>
      <c r="P19" s="31" t="s">
        <v>474</v>
      </c>
    </row>
    <row r="20" spans="2:16" customFormat="1" ht="14.5">
      <c r="B20" s="31" t="str">
        <f>'Input BoM- Manufacturing'!Z10</f>
        <v>Polyvinyl chloride (PVC)</v>
      </c>
      <c r="C20" s="61">
        <f>'Input BoM- Manufacturing'!AA10</f>
        <v>4.5999999999999996</v>
      </c>
      <c r="D20" s="208" t="str">
        <f>'Input BoM- Manufacturing'!AB10</f>
        <v>kg</v>
      </c>
      <c r="E20" s="59">
        <f>'Input BoM- Manufacturing'!AC10</f>
        <v>5.1610876431220087E-3</v>
      </c>
      <c r="F20" s="208" t="str">
        <f>'Input BoM- Manufacturing'!AD10</f>
        <v>1-BlkPlastics</v>
      </c>
      <c r="G20" s="169"/>
      <c r="H20" s="62" t="str">
        <f t="shared" si="0"/>
        <v/>
      </c>
      <c r="I20" s="33"/>
      <c r="J20" s="31" t="str">
        <f t="shared" si="1"/>
        <v/>
      </c>
      <c r="K20" s="31"/>
      <c r="L20" s="36"/>
      <c r="M20" s="35"/>
      <c r="N20" s="39"/>
      <c r="O20" s="31" t="s">
        <v>483</v>
      </c>
      <c r="P20" s="31" t="s">
        <v>484</v>
      </c>
    </row>
    <row r="21" spans="2:16" customFormat="1" ht="14.5">
      <c r="B21" s="31" t="str">
        <f>'Input BoM- Manufacturing'!Z11</f>
        <v>Polystyrene (PS)</v>
      </c>
      <c r="C21" s="61">
        <f>'Input BoM- Manufacturing'!AA11</f>
        <v>4.43</v>
      </c>
      <c r="D21" s="208" t="str">
        <f>'Input BoM- Manufacturing'!AB11</f>
        <v>kg</v>
      </c>
      <c r="E21" s="59">
        <f>'Input BoM- Manufacturing'!AC11</f>
        <v>4.9703517954414128E-3</v>
      </c>
      <c r="F21" s="208" t="str">
        <f>'Input BoM- Manufacturing'!AD11</f>
        <v>1-BlkPlastics</v>
      </c>
      <c r="G21" s="169"/>
      <c r="H21" s="62" t="str">
        <f t="shared" si="0"/>
        <v/>
      </c>
      <c r="I21" s="33"/>
      <c r="J21" s="31" t="str">
        <f t="shared" si="1"/>
        <v/>
      </c>
      <c r="K21" s="31"/>
      <c r="L21" s="36"/>
      <c r="M21" s="35"/>
      <c r="N21" s="39"/>
      <c r="O21" s="31" t="s">
        <v>478</v>
      </c>
      <c r="P21" s="31" t="s">
        <v>475</v>
      </c>
    </row>
    <row r="22" spans="2:16" customFormat="1" ht="14.5">
      <c r="B22" s="31" t="str">
        <f>'Input BoM- Manufacturing'!Z12</f>
        <v>Acrylonitrile Butadiene Styrene (ABS)</v>
      </c>
      <c r="C22" s="61">
        <f>'Input BoM- Manufacturing'!AA12</f>
        <v>5</v>
      </c>
      <c r="D22" s="208" t="str">
        <f>'Input BoM- Manufacturing'!AB12</f>
        <v>kg</v>
      </c>
      <c r="E22" s="59">
        <f>'Input BoM- Manufacturing'!AC12</f>
        <v>5.6098778729587063E-3</v>
      </c>
      <c r="F22" s="208" t="str">
        <f>'Input BoM- Manufacturing'!AD12</f>
        <v>1-BlkPlastics</v>
      </c>
      <c r="G22" s="169"/>
      <c r="H22" s="62" t="str">
        <f t="shared" si="0"/>
        <v/>
      </c>
      <c r="I22" s="33"/>
      <c r="J22" s="31" t="str">
        <f t="shared" si="1"/>
        <v/>
      </c>
      <c r="K22" s="31"/>
      <c r="L22" s="36"/>
      <c r="M22" s="35"/>
      <c r="N22" s="39"/>
      <c r="O22" s="31" t="s">
        <v>476</v>
      </c>
      <c r="P22" s="31" t="s">
        <v>477</v>
      </c>
    </row>
    <row r="23" spans="2:16" customFormat="1" ht="14.5">
      <c r="B23" s="31" t="str">
        <f>'Input BoM- Manufacturing'!Z13</f>
        <v>Pumps (copper)</v>
      </c>
      <c r="C23" s="61">
        <f>'Input BoM- Manufacturing'!AA13</f>
        <v>16.824999999999999</v>
      </c>
      <c r="D23" s="208" t="str">
        <f>'Input BoM- Manufacturing'!AB13</f>
        <v>kg</v>
      </c>
      <c r="E23" s="59">
        <f>'Input BoM- Manufacturing'!AC13</f>
        <v>1.8877239042506044E-2</v>
      </c>
      <c r="F23" s="208" t="str">
        <f>'Input BoM- Manufacturing'!AD13</f>
        <v>4-Non-ferrous</v>
      </c>
      <c r="G23" s="169"/>
      <c r="H23" s="62" t="str">
        <f t="shared" si="0"/>
        <v/>
      </c>
      <c r="I23" s="33"/>
      <c r="J23" s="31" t="str">
        <f t="shared" si="1"/>
        <v/>
      </c>
      <c r="K23" s="31"/>
      <c r="L23" s="36"/>
      <c r="M23" s="35"/>
      <c r="N23" s="39"/>
      <c r="O23" s="31" t="s">
        <v>491</v>
      </c>
      <c r="P23" s="31" t="s">
        <v>492</v>
      </c>
    </row>
    <row r="24" spans="2:16" customFormat="1" ht="14.5">
      <c r="B24" s="31" t="str">
        <f>'Input BoM- Manufacturing'!Z14</f>
        <v>Pumps (stack of sheets)</v>
      </c>
      <c r="C24" s="61">
        <f>'Input BoM- Manufacturing'!AA14</f>
        <v>15.625</v>
      </c>
      <c r="D24" s="208" t="str">
        <f>'Input BoM- Manufacturing'!AB14</f>
        <v>kg</v>
      </c>
      <c r="E24" s="59">
        <f>'Input BoM- Manufacturing'!AC14</f>
        <v>1.7530868352995957E-2</v>
      </c>
      <c r="F24" s="208" t="str">
        <f>'Input BoM- Manufacturing'!AD14</f>
        <v>3-Ferrous</v>
      </c>
      <c r="G24" s="169"/>
      <c r="H24" s="62" t="str">
        <f t="shared" si="0"/>
        <v/>
      </c>
      <c r="I24" s="33"/>
      <c r="J24" s="31" t="str">
        <f t="shared" si="1"/>
        <v/>
      </c>
      <c r="K24" s="31" t="s">
        <v>602</v>
      </c>
      <c r="L24" s="36"/>
      <c r="M24" s="35"/>
      <c r="N24" s="39"/>
      <c r="O24" s="31" t="s">
        <v>468</v>
      </c>
      <c r="P24" s="31" t="s">
        <v>469</v>
      </c>
    </row>
    <row r="25" spans="2:16" customFormat="1" ht="14.5">
      <c r="B25" s="31" t="str">
        <f>'Input BoM- Manufacturing'!Z15</f>
        <v>Pumps (stainless steel wave)</v>
      </c>
      <c r="C25" s="61">
        <f>'Input BoM- Manufacturing'!AA15</f>
        <v>12.335000000000001</v>
      </c>
      <c r="D25" s="208" t="str">
        <f>'Input BoM- Manufacturing'!AB15</f>
        <v>kg</v>
      </c>
      <c r="E25" s="59">
        <f>'Input BoM- Manufacturing'!AC15</f>
        <v>1.3839568712589128E-2</v>
      </c>
      <c r="F25" s="208" t="str">
        <f>'Input BoM- Manufacturing'!AD15</f>
        <v>3-Ferrous</v>
      </c>
      <c r="G25" s="169"/>
      <c r="H25" s="62" t="str">
        <f t="shared" si="0"/>
        <v/>
      </c>
      <c r="I25" s="33"/>
      <c r="J25" s="31" t="str">
        <f t="shared" si="1"/>
        <v/>
      </c>
      <c r="K25" s="31"/>
      <c r="L25" s="36"/>
      <c r="M25" s="35"/>
      <c r="N25" s="39"/>
      <c r="O25" s="31" t="s">
        <v>468</v>
      </c>
      <c r="P25" s="31" t="s">
        <v>469</v>
      </c>
    </row>
    <row r="26" spans="2:16" customFormat="1" ht="14.5">
      <c r="B26" s="31" t="str">
        <f>'Input BoM- Manufacturing'!Z16</f>
        <v>Pumps (Al)</v>
      </c>
      <c r="C26" s="61">
        <f>'Input BoM- Manufacturing'!AA16</f>
        <v>17.47</v>
      </c>
      <c r="D26" s="208" t="str">
        <f>'Input BoM- Manufacturing'!AB16</f>
        <v>kg</v>
      </c>
      <c r="E26" s="59">
        <f>'Input BoM- Manufacturing'!AC16</f>
        <v>1.9600913288117718E-2</v>
      </c>
      <c r="F26" s="208" t="str">
        <f>'Input BoM- Manufacturing'!AD16</f>
        <v>4-Non-ferrous</v>
      </c>
      <c r="G26" s="169"/>
      <c r="H26" s="62" t="str">
        <f t="shared" si="0"/>
        <v/>
      </c>
      <c r="I26" s="33"/>
      <c r="J26" s="31" t="str">
        <f t="shared" si="1"/>
        <v/>
      </c>
      <c r="K26" s="31"/>
      <c r="L26" s="36"/>
      <c r="M26" s="35"/>
      <c r="N26" s="39"/>
      <c r="O26" s="31" t="s">
        <v>489</v>
      </c>
      <c r="P26" s="31" t="s">
        <v>490</v>
      </c>
    </row>
    <row r="27" spans="2:16" customFormat="1" ht="14.5">
      <c r="B27" s="31" t="str">
        <f>'Input BoM- Manufacturing'!Z17</f>
        <v>Condenser (AL)</v>
      </c>
      <c r="C27" s="61">
        <f>'Input BoM- Manufacturing'!AA17</f>
        <v>4.72</v>
      </c>
      <c r="D27" s="208" t="str">
        <f>'Input BoM- Manufacturing'!AB17</f>
        <v>kg</v>
      </c>
      <c r="E27" s="59">
        <f>'Input BoM- Manufacturing'!AC17</f>
        <v>5.2957247120730177E-3</v>
      </c>
      <c r="F27" s="208" t="str">
        <f>'Input BoM- Manufacturing'!AD17</f>
        <v>4-Non-ferrous</v>
      </c>
      <c r="G27" s="169"/>
      <c r="H27" s="62" t="str">
        <f t="shared" si="0"/>
        <v/>
      </c>
      <c r="I27" s="33"/>
      <c r="J27" s="31" t="str">
        <f t="shared" si="1"/>
        <v/>
      </c>
      <c r="K27" s="31"/>
      <c r="L27" s="36"/>
      <c r="M27" s="35"/>
      <c r="N27" s="39"/>
      <c r="O27" s="31" t="s">
        <v>489</v>
      </c>
      <c r="P27" s="31" t="s">
        <v>490</v>
      </c>
    </row>
    <row r="28" spans="2:16" customFormat="1" ht="14.5">
      <c r="B28" s="31" t="str">
        <f>'Input BoM- Manufacturing'!Z18</f>
        <v>Condenser (Cu)</v>
      </c>
      <c r="C28" s="61">
        <f>'Input BoM- Manufacturing'!AA18</f>
        <v>7.08</v>
      </c>
      <c r="D28" s="208" t="str">
        <f>'Input BoM- Manufacturing'!AB18</f>
        <v>kg</v>
      </c>
      <c r="E28" s="59">
        <f>'Input BoM- Manufacturing'!AC18</f>
        <v>7.9435870681095269E-3</v>
      </c>
      <c r="F28" s="208" t="str">
        <f>'Input BoM- Manufacturing'!AD18</f>
        <v>4-Non-ferrous</v>
      </c>
      <c r="G28" s="169"/>
      <c r="H28" s="62" t="str">
        <f t="shared" si="0"/>
        <v/>
      </c>
      <c r="I28" s="33"/>
      <c r="J28" s="31" t="str">
        <f t="shared" si="1"/>
        <v/>
      </c>
      <c r="K28" s="31"/>
      <c r="L28" s="36"/>
      <c r="M28" s="35"/>
      <c r="N28" s="39"/>
      <c r="O28" s="31" t="s">
        <v>491</v>
      </c>
      <c r="P28" s="31" t="s">
        <v>492</v>
      </c>
    </row>
    <row r="29" spans="2:16" customFormat="1" ht="14.5">
      <c r="B29" s="31" t="str">
        <f>'Input BoM- Manufacturing'!Z19</f>
        <v>Ventilator, fan (AL)</v>
      </c>
      <c r="C29" s="61">
        <f>'Input BoM- Manufacturing'!AA19</f>
        <v>17.440000000000001</v>
      </c>
      <c r="D29" s="208" t="str">
        <f>'Input BoM- Manufacturing'!AB19</f>
        <v>kg</v>
      </c>
      <c r="E29" s="59">
        <f>'Input BoM- Manufacturing'!AC19</f>
        <v>1.9567254020879967E-2</v>
      </c>
      <c r="F29" s="208" t="str">
        <f>'Input BoM- Manufacturing'!AD19</f>
        <v>4-Non-ferrous</v>
      </c>
      <c r="G29" s="169"/>
      <c r="H29" s="62" t="str">
        <f t="shared" si="0"/>
        <v/>
      </c>
      <c r="I29" s="33"/>
      <c r="J29" s="31" t="str">
        <f t="shared" si="1"/>
        <v/>
      </c>
      <c r="K29" s="31"/>
      <c r="L29" s="36"/>
      <c r="M29" s="35"/>
      <c r="N29" s="39"/>
      <c r="O29" s="31" t="s">
        <v>489</v>
      </c>
      <c r="P29" s="31" t="s">
        <v>490</v>
      </c>
    </row>
    <row r="30" spans="2:16" customFormat="1" ht="14.5">
      <c r="B30" s="31" t="str">
        <f>'Input BoM- Manufacturing'!Z20</f>
        <v>Ventilator, fan (Cu)</v>
      </c>
      <c r="C30" s="61">
        <f>'Input BoM- Manufacturing'!AA20</f>
        <v>10.16</v>
      </c>
      <c r="D30" s="208" t="str">
        <f>'Input BoM- Manufacturing'!AB20</f>
        <v>kg</v>
      </c>
      <c r="E30" s="59">
        <f>'Input BoM- Manufacturing'!AC20</f>
        <v>1.1399271837852091E-2</v>
      </c>
      <c r="F30" s="208" t="str">
        <f>'Input BoM- Manufacturing'!AD20</f>
        <v>4-Non-ferrous</v>
      </c>
      <c r="G30" s="169"/>
      <c r="H30" s="62" t="str">
        <f t="shared" si="0"/>
        <v/>
      </c>
      <c r="I30" s="33"/>
      <c r="J30" s="31" t="str">
        <f t="shared" si="1"/>
        <v/>
      </c>
      <c r="K30" s="31"/>
      <c r="L30" s="36"/>
      <c r="M30" s="35"/>
      <c r="N30" s="39"/>
      <c r="O30" s="31" t="s">
        <v>491</v>
      </c>
      <c r="P30" s="31" t="s">
        <v>492</v>
      </c>
    </row>
    <row r="31" spans="2:16" customFormat="1" ht="14.5">
      <c r="B31" s="31" t="str">
        <f>'Input BoM- Manufacturing'!Z21</f>
        <v>Drive motor (AL)</v>
      </c>
      <c r="C31" s="61">
        <f>'Input BoM- Manufacturing'!AA21</f>
        <v>4</v>
      </c>
      <c r="D31" s="208" t="str">
        <f>'Input BoM- Manufacturing'!AB21</f>
        <v>kg</v>
      </c>
      <c r="E31" s="59">
        <f>'Input BoM- Manufacturing'!AC21</f>
        <v>4.487902298366965E-3</v>
      </c>
      <c r="F31" s="208" t="str">
        <f>'Input BoM- Manufacturing'!AD21</f>
        <v>4-Non-ferrous</v>
      </c>
      <c r="G31" s="169"/>
      <c r="H31" s="62" t="str">
        <f t="shared" si="0"/>
        <v/>
      </c>
      <c r="I31" s="33"/>
      <c r="J31" s="31" t="str">
        <f t="shared" si="1"/>
        <v/>
      </c>
      <c r="K31" s="31"/>
      <c r="L31" s="36"/>
      <c r="M31" s="35"/>
      <c r="N31" s="39"/>
      <c r="O31" s="31" t="s">
        <v>489</v>
      </c>
      <c r="P31" s="31" t="s">
        <v>490</v>
      </c>
    </row>
    <row r="32" spans="2:16" customFormat="1" ht="14.5">
      <c r="B32" s="31" t="str">
        <f>'Input BoM- Manufacturing'!Z22</f>
        <v>Drive motor (Cu)</v>
      </c>
      <c r="C32" s="61">
        <f>'Input BoM- Manufacturing'!AA22</f>
        <v>5</v>
      </c>
      <c r="D32" s="208" t="str">
        <f>'Input BoM- Manufacturing'!AB22</f>
        <v>kg</v>
      </c>
      <c r="E32" s="59">
        <f>'Input BoM- Manufacturing'!AC22</f>
        <v>5.6098778729587063E-3</v>
      </c>
      <c r="F32" s="208" t="str">
        <f>'Input BoM- Manufacturing'!AD22</f>
        <v>4-Non-ferrous</v>
      </c>
      <c r="G32" s="169"/>
      <c r="H32" s="62" t="str">
        <f t="shared" si="0"/>
        <v/>
      </c>
      <c r="I32" s="33"/>
      <c r="J32" s="31" t="str">
        <f t="shared" si="1"/>
        <v/>
      </c>
      <c r="K32" s="31"/>
      <c r="L32" s="36"/>
      <c r="M32" s="35"/>
      <c r="N32" s="39"/>
      <c r="O32" s="31" t="s">
        <v>491</v>
      </c>
      <c r="P32" s="31" t="s">
        <v>492</v>
      </c>
    </row>
    <row r="33" spans="2:16" customFormat="1" ht="14.5">
      <c r="B33" s="31" t="str">
        <f>'Input BoM- Manufacturing'!Z23</f>
        <v>Cable (copper)</v>
      </c>
      <c r="C33" s="61">
        <f>'Input BoM- Manufacturing'!AA23</f>
        <v>16.3</v>
      </c>
      <c r="D33" s="208" t="str">
        <f>'Input BoM- Manufacturing'!AB23</f>
        <v>kg</v>
      </c>
      <c r="E33" s="59">
        <f>'Input BoM- Manufacturing'!AC23</f>
        <v>1.8288201865845382E-2</v>
      </c>
      <c r="F33" s="208" t="str">
        <f>'Input BoM- Manufacturing'!AD23</f>
        <v>4-Non-ferrous</v>
      </c>
      <c r="G33" s="169"/>
      <c r="H33" s="62" t="str">
        <f t="shared" si="0"/>
        <v/>
      </c>
      <c r="I33" s="33"/>
      <c r="J33" s="31" t="str">
        <f t="shared" si="1"/>
        <v/>
      </c>
      <c r="K33" s="31"/>
      <c r="L33" s="36"/>
      <c r="M33" s="35"/>
      <c r="N33" s="39"/>
      <c r="O33" s="31" t="s">
        <v>491</v>
      </c>
      <c r="P33" s="31" t="s">
        <v>492</v>
      </c>
    </row>
    <row r="34" spans="2:16" customFormat="1" ht="14.5">
      <c r="B34" s="31" t="str">
        <f>'Input BoM- Manufacturing'!Z24</f>
        <v>Cable sheath (PVC)</v>
      </c>
      <c r="C34" s="61">
        <f>'Input BoM- Manufacturing'!AA24</f>
        <v>8.64</v>
      </c>
      <c r="D34" s="208" t="str">
        <f>'Input BoM- Manufacturing'!AB24</f>
        <v>kg</v>
      </c>
      <c r="E34" s="59">
        <f>'Input BoM- Manufacturing'!AC24</f>
        <v>9.6938689644726437E-3</v>
      </c>
      <c r="F34" s="208" t="str">
        <f>'Input BoM- Manufacturing'!AD24</f>
        <v>1-BlkPlastics</v>
      </c>
      <c r="G34" s="169"/>
      <c r="H34" s="62" t="str">
        <f t="shared" si="0"/>
        <v/>
      </c>
      <c r="I34" s="33"/>
      <c r="J34" s="31" t="str">
        <f t="shared" si="1"/>
        <v/>
      </c>
      <c r="K34" s="31"/>
      <c r="L34" s="36"/>
      <c r="M34" s="35"/>
      <c r="N34" s="39"/>
      <c r="O34" s="31" t="s">
        <v>483</v>
      </c>
      <c r="P34" s="31" t="s">
        <v>484</v>
      </c>
    </row>
    <row r="35" spans="2:16" customFormat="1" ht="14.5">
      <c r="B35" s="31" t="str">
        <f>'Input BoM- Manufacturing'!Z25</f>
        <v>Cable sheath (silicone, EDPM)</v>
      </c>
      <c r="C35" s="61">
        <f>'Input BoM- Manufacturing'!AA25</f>
        <v>5.17</v>
      </c>
      <c r="D35" s="208" t="str">
        <f>'Input BoM- Manufacturing'!AB25</f>
        <v>kg</v>
      </c>
      <c r="E35" s="59">
        <f>'Input BoM- Manufacturing'!AC25</f>
        <v>5.8006137206393022E-3</v>
      </c>
      <c r="F35" s="208" t="str">
        <f>'Input BoM- Manufacturing'!AD25</f>
        <v>1-BlkPlastics</v>
      </c>
      <c r="G35" s="169"/>
      <c r="H35" s="62" t="str">
        <f t="shared" si="0"/>
        <v/>
      </c>
      <c r="I35" s="33"/>
      <c r="J35" s="31" t="str">
        <f t="shared" si="1"/>
        <v/>
      </c>
      <c r="K35" s="31"/>
      <c r="L35" s="36"/>
      <c r="M35" s="35"/>
      <c r="N35" s="39"/>
      <c r="O35" s="31" t="s">
        <v>485</v>
      </c>
      <c r="P35" s="31" t="s">
        <v>486</v>
      </c>
    </row>
    <row r="36" spans="2:16" customFormat="1" ht="14.5">
      <c r="B36" s="31" t="str">
        <f>'Input BoM- Manufacturing'!Z26</f>
        <v>Electric contactor (copper)</v>
      </c>
      <c r="C36" s="61">
        <f>'Input BoM- Manufacturing'!AA26</f>
        <v>10</v>
      </c>
      <c r="D36" s="208" t="str">
        <f>'Input BoM- Manufacturing'!AB26</f>
        <v>kg</v>
      </c>
      <c r="E36" s="59">
        <f>'Input BoM- Manufacturing'!AC26</f>
        <v>1.1219755745917413E-2</v>
      </c>
      <c r="F36" s="208" t="str">
        <f>'Input BoM- Manufacturing'!AD26</f>
        <v>4-Non-ferrous</v>
      </c>
      <c r="G36" s="169"/>
      <c r="H36" s="62" t="str">
        <f t="shared" si="0"/>
        <v/>
      </c>
      <c r="I36" s="33"/>
      <c r="J36" s="31" t="str">
        <f t="shared" si="1"/>
        <v/>
      </c>
      <c r="K36" s="31"/>
      <c r="L36" s="36"/>
      <c r="M36" s="35"/>
      <c r="N36" s="39"/>
      <c r="O36" s="31" t="s">
        <v>491</v>
      </c>
      <c r="P36" s="31" t="s">
        <v>492</v>
      </c>
    </row>
    <row r="37" spans="2:16" customFormat="1" ht="14.5">
      <c r="B37" s="31" t="str">
        <f>'Input BoM- Manufacturing'!Z28</f>
        <v>Gaskets (EDPM)</v>
      </c>
      <c r="C37" s="61">
        <f>'Input BoM- Manufacturing'!AA28</f>
        <v>12.8</v>
      </c>
      <c r="D37" s="208" t="str">
        <f>'Input BoM- Manufacturing'!AB28</f>
        <v>kg</v>
      </c>
      <c r="E37" s="59">
        <f>'Input BoM- Manufacturing'!AC28</f>
        <v>1.4361287354774288E-2</v>
      </c>
      <c r="F37" s="208" t="str">
        <f>'Input BoM- Manufacturing'!AD28</f>
        <v>1-BlkPlastics</v>
      </c>
      <c r="G37" s="169"/>
      <c r="H37" s="62" t="str">
        <f>IF(G37="Yes", "Default","")</f>
        <v/>
      </c>
      <c r="I37" s="33"/>
      <c r="J37" s="31" t="str">
        <f>IF(I37="Stakeholder input","High quality",IF(I37="Previous study","Medium quality",IF(I37="Literature","Medium quality",IF(I37="Googling","Fair quality",IF(I37="Scientific literature","High quality",IF(I37="Expert judgement","Medium quality",""))))))</f>
        <v/>
      </c>
      <c r="K37" s="31"/>
      <c r="L37" s="36"/>
      <c r="M37" s="35"/>
      <c r="N37" s="39"/>
      <c r="O37" s="31" t="s">
        <v>485</v>
      </c>
      <c r="P37" s="31" t="s">
        <v>486</v>
      </c>
    </row>
    <row r="38" spans="2:16" customFormat="1" ht="14.5">
      <c r="B38" s="31" t="str">
        <f>'Input BoM- Manufacturing'!Z27</f>
        <v>Electronics (control)</v>
      </c>
      <c r="C38" s="61">
        <f>'Input BoM- Manufacturing'!AA27/3.08</f>
        <v>3.1818181818181821</v>
      </c>
      <c r="D38" s="208" t="s">
        <v>493</v>
      </c>
      <c r="E38" s="59">
        <f>'Input BoM- Manufacturing'!AC27</f>
        <v>1.0995360630999065E-2</v>
      </c>
      <c r="F38" s="208" t="str">
        <f>'Input BoM- Manufacturing'!AD27</f>
        <v>6-Electronics</v>
      </c>
      <c r="G38" s="169"/>
      <c r="H38" s="62" t="str">
        <f t="shared" si="0"/>
        <v/>
      </c>
      <c r="I38" s="33"/>
      <c r="J38" s="31" t="str">
        <f t="shared" si="1"/>
        <v/>
      </c>
      <c r="K38" s="63"/>
      <c r="L38" s="36"/>
      <c r="M38" s="35"/>
      <c r="N38" s="39"/>
      <c r="O38" s="31" t="s">
        <v>494</v>
      </c>
      <c r="P38" s="31" t="s">
        <v>495</v>
      </c>
    </row>
    <row r="39" spans="2:16" customFormat="1" ht="14.5">
      <c r="B39" s="31">
        <f>'Input BoM- Manufacturing'!Z29</f>
        <v>0</v>
      </c>
      <c r="C39" s="61">
        <f>'Input BoM- Manufacturing'!AA29</f>
        <v>0</v>
      </c>
      <c r="D39" s="208">
        <f>'Input BoM- Manufacturing'!AB29</f>
        <v>0</v>
      </c>
      <c r="E39" s="59">
        <f>'Input BoM- Manufacturing'!AC29</f>
        <v>0</v>
      </c>
      <c r="F39" s="208">
        <f>'Input BoM- Manufacturing'!AD29</f>
        <v>0</v>
      </c>
      <c r="G39" s="170"/>
      <c r="H39" s="62"/>
      <c r="I39" s="33"/>
      <c r="J39" s="31"/>
      <c r="K39" s="31"/>
      <c r="L39" s="31"/>
      <c r="M39" s="64"/>
      <c r="N39" s="65"/>
      <c r="O39" s="31"/>
      <c r="P39" s="31"/>
    </row>
    <row r="40" spans="2:16" customFormat="1" ht="14.5">
      <c r="B40" s="31">
        <f>'Input BoM- Manufacturing'!Z30</f>
        <v>0</v>
      </c>
      <c r="C40" s="61">
        <f>'Input BoM- Manufacturing'!AA30</f>
        <v>0</v>
      </c>
      <c r="D40" s="208">
        <f>'Input BoM- Manufacturing'!AB30</f>
        <v>0</v>
      </c>
      <c r="E40" s="59">
        <f>'Input BoM- Manufacturing'!AC30</f>
        <v>0</v>
      </c>
      <c r="F40" s="208">
        <f>'Input BoM- Manufacturing'!AD30</f>
        <v>0</v>
      </c>
      <c r="G40" s="170"/>
      <c r="H40" s="62" t="str">
        <f t="shared" si="0"/>
        <v/>
      </c>
      <c r="I40" s="33"/>
      <c r="J40" s="31" t="str">
        <f t="shared" ref="J40:J41" si="2">IF(I40="Stakeholder input", "High quality",IF(I40="Previous study", "Medium quality", IF(I40="Literature","Low quality",IF(I40="Googling","Low quality",""))))</f>
        <v/>
      </c>
      <c r="K40" s="22"/>
      <c r="L40" s="22"/>
      <c r="M40" s="66"/>
      <c r="N40" s="67"/>
      <c r="O40" s="31"/>
      <c r="P40" s="31"/>
    </row>
    <row r="41" spans="2:16" customFormat="1" ht="15" thickBot="1">
      <c r="B41" s="68">
        <f>'Input BoM- Manufacturing'!Z31</f>
        <v>0</v>
      </c>
      <c r="C41" s="69">
        <f>'Input BoM- Manufacturing'!AA31</f>
        <v>0</v>
      </c>
      <c r="D41" s="209">
        <f>'Input BoM- Manufacturing'!AB31</f>
        <v>0</v>
      </c>
      <c r="E41" s="59">
        <f>'Input BoM- Manufacturing'!AC31</f>
        <v>0</v>
      </c>
      <c r="F41" s="209">
        <f>'Input BoM- Manufacturing'!AD31</f>
        <v>0</v>
      </c>
      <c r="G41" s="168"/>
      <c r="H41" s="70" t="str">
        <f>IF(G41="Yes", "Default","")</f>
        <v/>
      </c>
      <c r="I41" s="48"/>
      <c r="J41" s="68" t="str">
        <f t="shared" si="2"/>
        <v/>
      </c>
      <c r="K41" s="71"/>
      <c r="L41" s="71"/>
      <c r="M41" s="72"/>
      <c r="N41" s="73"/>
      <c r="O41" s="68"/>
      <c r="P41" s="68"/>
    </row>
    <row r="42" spans="2:16" customFormat="1" ht="14.5" thickBot="1">
      <c r="B42" s="74" t="s">
        <v>353</v>
      </c>
      <c r="C42" s="75">
        <f>SUM(C17:C37)+(C38*3.08)</f>
        <v>891.28499999999997</v>
      </c>
      <c r="D42" s="211" t="s">
        <v>309</v>
      </c>
      <c r="E42" s="76">
        <f>SUM(E17:E41)</f>
        <v>1</v>
      </c>
      <c r="F42" s="76"/>
      <c r="G42" s="171"/>
      <c r="H42" s="76"/>
      <c r="I42" s="76"/>
      <c r="J42" s="76"/>
      <c r="K42" s="76"/>
      <c r="L42" s="76"/>
      <c r="M42" s="76"/>
      <c r="N42" s="76"/>
      <c r="O42" s="76"/>
      <c r="P42" s="76"/>
    </row>
    <row r="43" spans="2:16" customFormat="1">
      <c r="B43" s="5"/>
      <c r="C43" s="7"/>
      <c r="D43" s="8"/>
      <c r="E43" s="8"/>
      <c r="F43" s="8"/>
      <c r="G43" s="172"/>
      <c r="H43" s="5"/>
      <c r="I43" s="4"/>
      <c r="J43" s="4"/>
      <c r="K43" s="5"/>
      <c r="L43" s="5"/>
      <c r="M43" s="5"/>
      <c r="N43" s="5"/>
      <c r="O43" s="4"/>
      <c r="P43" s="4"/>
    </row>
    <row r="44" spans="2:16" customFormat="1" ht="15" thickBot="1">
      <c r="B44" s="13" t="s">
        <v>601</v>
      </c>
      <c r="C44" s="8"/>
      <c r="D44" s="79" t="s">
        <v>454</v>
      </c>
      <c r="E44" s="8"/>
      <c r="F44" s="8"/>
      <c r="G44" s="172"/>
      <c r="H44" s="5"/>
      <c r="I44" s="4"/>
      <c r="J44" s="4"/>
      <c r="K44" s="5"/>
      <c r="L44" s="5"/>
      <c r="M44" s="5"/>
      <c r="N44" s="5"/>
      <c r="O44" s="4"/>
      <c r="P44" s="4"/>
    </row>
    <row r="45" spans="2:16" customFormat="1" ht="28.5" thickBot="1">
      <c r="B45" s="57" t="s">
        <v>355</v>
      </c>
      <c r="C45" s="57" t="s">
        <v>305</v>
      </c>
      <c r="D45" s="57" t="s">
        <v>7</v>
      </c>
      <c r="E45" s="57" t="s">
        <v>306</v>
      </c>
      <c r="F45" s="57" t="s">
        <v>307</v>
      </c>
      <c r="G45" s="58" t="s">
        <v>456</v>
      </c>
      <c r="H45" s="58" t="s">
        <v>457</v>
      </c>
      <c r="I45" s="57" t="s">
        <v>458</v>
      </c>
      <c r="J45" s="57" t="s">
        <v>459</v>
      </c>
      <c r="K45" s="57" t="s">
        <v>460</v>
      </c>
      <c r="L45" s="57" t="s">
        <v>461</v>
      </c>
      <c r="M45" s="17" t="s">
        <v>462</v>
      </c>
      <c r="N45" s="40" t="s">
        <v>463</v>
      </c>
      <c r="O45" s="57" t="s">
        <v>464</v>
      </c>
      <c r="P45" s="57" t="s">
        <v>465</v>
      </c>
    </row>
    <row r="46" spans="2:16" customFormat="1">
      <c r="B46" s="206" t="str">
        <f>'Input BoM- Manufacturing'!Z36</f>
        <v>EPS</v>
      </c>
      <c r="C46" s="202">
        <f>'Input BoM- Manufacturing'!AA36</f>
        <v>2.94</v>
      </c>
      <c r="D46" s="203" t="str">
        <f>'Input BoM- Manufacturing'!AB36</f>
        <v>kg</v>
      </c>
      <c r="E46" s="210">
        <f>'Input BoM- Manufacturing'!AC36</f>
        <v>2.7871261316774896E-2</v>
      </c>
      <c r="F46" s="203" t="str">
        <f>'Input BoM- Manufacturing'!AD36</f>
        <v>1-BlkPlastics</v>
      </c>
      <c r="G46" s="169" t="s">
        <v>466</v>
      </c>
      <c r="H46" s="62" t="str">
        <f t="shared" ref="H46:H55" si="3">IF(G46="Yes", "Default","")</f>
        <v>Default</v>
      </c>
      <c r="I46" s="32" t="s">
        <v>467</v>
      </c>
      <c r="J46" s="31" t="str">
        <f>IF(I46="Stakeholder input","High quality",IF(I46="Previous study","Medium quality",IF(I46="Literature","Medium quality",IF(I46="Googling","Fair quality",IF(I46="Scientific literature","High quality",IF(I46="Expert judgement","Medium quality",""))))))</f>
        <v>Medium quality</v>
      </c>
      <c r="K46" s="22"/>
      <c r="L46" s="31" t="s">
        <v>496</v>
      </c>
      <c r="M46" s="35"/>
      <c r="N46" s="39"/>
      <c r="O46" s="31" t="s">
        <v>479</v>
      </c>
      <c r="P46" s="31" t="s">
        <v>480</v>
      </c>
    </row>
    <row r="47" spans="2:16" customFormat="1">
      <c r="B47" s="206" t="str">
        <f>'Input BoM- Manufacturing'!Z37</f>
        <v>PE-Foil</v>
      </c>
      <c r="C47" s="202">
        <f>'Input BoM- Manufacturing'!AA37</f>
        <v>3.0449999999999999</v>
      </c>
      <c r="D47" s="203" t="str">
        <f>'Input BoM- Manufacturing'!AB37</f>
        <v>kg</v>
      </c>
      <c r="E47" s="210">
        <f>'Input BoM- Manufacturing'!AC37</f>
        <v>2.8866663506659715E-2</v>
      </c>
      <c r="F47" s="203" t="str">
        <f>'Input BoM- Manufacturing'!AD37</f>
        <v>1-BlkPlastics</v>
      </c>
      <c r="G47" s="169"/>
      <c r="H47" s="62" t="str">
        <f t="shared" si="3"/>
        <v/>
      </c>
      <c r="I47" s="32"/>
      <c r="J47" s="31" t="str">
        <f t="shared" ref="J47:J48" si="4">IF(I47="Stakeholder input","High quality",IF(I47="Previous study","Medium quality",IF(I47="Literature","Medium quality",IF(I47="Googling","Fair quality",IF(I47="Scientific literature","High quality",IF(I47="Expert judgement","Medium quality",""))))))</f>
        <v/>
      </c>
      <c r="K47" s="22"/>
      <c r="L47" s="31"/>
      <c r="M47" s="35"/>
      <c r="N47" s="39"/>
      <c r="O47" s="31" t="s">
        <v>487</v>
      </c>
      <c r="P47" s="31" t="s">
        <v>488</v>
      </c>
    </row>
    <row r="48" spans="2:16" customFormat="1">
      <c r="B48" s="206" t="str">
        <f>'Input BoM- Manufacturing'!Z38</f>
        <v>PP (pastic strips)</v>
      </c>
      <c r="C48" s="202">
        <f>'Input BoM- Manufacturing'!AA38</f>
        <v>0</v>
      </c>
      <c r="D48" s="203" t="str">
        <f>'Input BoM- Manufacturing'!AB38</f>
        <v>kg</v>
      </c>
      <c r="E48" s="210">
        <f>'Input BoM- Manufacturing'!AC38</f>
        <v>0</v>
      </c>
      <c r="F48" s="203" t="str">
        <f>'Input BoM- Manufacturing'!AD38</f>
        <v>1-BlkPlastics</v>
      </c>
      <c r="G48" s="169"/>
      <c r="H48" s="62" t="str">
        <f t="shared" si="3"/>
        <v/>
      </c>
      <c r="I48" s="32"/>
      <c r="J48" s="31" t="str">
        <f t="shared" si="4"/>
        <v/>
      </c>
      <c r="K48" s="173"/>
      <c r="L48" s="31"/>
      <c r="M48" s="35"/>
      <c r="N48" s="39"/>
      <c r="O48" s="31" t="s">
        <v>470</v>
      </c>
      <c r="P48" s="31" t="s">
        <v>471</v>
      </c>
    </row>
    <row r="49" spans="2:16" customFormat="1">
      <c r="B49" s="206" t="str">
        <f>'Input BoM- Manufacturing'!Z39</f>
        <v>Wood</v>
      </c>
      <c r="C49" s="202">
        <f>'Input BoM- Manufacturing'!AA39</f>
        <v>80.75</v>
      </c>
      <c r="D49" s="203" t="str">
        <f>'Input BoM- Manufacturing'!AB39</f>
        <v>kg</v>
      </c>
      <c r="E49" s="210">
        <f>'Input BoM- Manufacturing'!AC39</f>
        <v>0.76551168412570503</v>
      </c>
      <c r="F49" s="203" t="str">
        <f>'Input BoM- Manufacturing'!AD39</f>
        <v>7-Misc.</v>
      </c>
      <c r="G49" s="169"/>
      <c r="H49" s="62" t="str">
        <f t="shared" si="3"/>
        <v/>
      </c>
      <c r="I49" s="175"/>
      <c r="J49" s="31" t="str">
        <f t="shared" ref="J49:J55" si="5">IF(I49="Stakeholder input", "High quality",IF(I49="Previous study", "Medium quality", IF(I49="Literature","Low quality",IF(I49="Googling","Low quality",""))))</f>
        <v/>
      </c>
      <c r="K49" s="31" t="s">
        <v>497</v>
      </c>
      <c r="L49" s="173"/>
      <c r="M49" s="35"/>
      <c r="N49" s="39"/>
      <c r="O49" s="31" t="s">
        <v>498</v>
      </c>
      <c r="P49" s="31" t="s">
        <v>482</v>
      </c>
    </row>
    <row r="50" spans="2:16" customFormat="1">
      <c r="B50" s="206" t="str">
        <f>'Input BoM- Manufacturing'!Z40</f>
        <v>Cardboard</v>
      </c>
      <c r="C50" s="202">
        <f>'Input BoM- Manufacturing'!AA40</f>
        <v>7.75</v>
      </c>
      <c r="D50" s="203" t="str">
        <f>'Input BoM- Manufacturing'!AB40</f>
        <v>kg</v>
      </c>
      <c r="E50" s="210">
        <f>'Input BoM- Manufacturing'!AC40</f>
        <v>7.3470161634355602E-2</v>
      </c>
      <c r="F50" s="203" t="str">
        <f>'Input BoM- Manufacturing'!AD40</f>
        <v>7-Misc.</v>
      </c>
      <c r="G50" s="169"/>
      <c r="H50" s="62" t="str">
        <f t="shared" si="3"/>
        <v/>
      </c>
      <c r="I50" s="175"/>
      <c r="J50" s="31" t="str">
        <f t="shared" si="5"/>
        <v/>
      </c>
      <c r="K50" s="31"/>
      <c r="L50" s="173"/>
      <c r="M50" s="35"/>
      <c r="N50" s="39"/>
      <c r="O50" s="31" t="s">
        <v>499</v>
      </c>
      <c r="P50" s="31" t="s">
        <v>500</v>
      </c>
    </row>
    <row r="51" spans="2:16" customFormat="1">
      <c r="B51" s="206" t="str">
        <f>'Input BoM- Manufacturing'!Z41</f>
        <v>Cast iron</v>
      </c>
      <c r="C51" s="202">
        <f>'Input BoM- Manufacturing'!AA41</f>
        <v>11</v>
      </c>
      <c r="D51" s="203" t="str">
        <f>'Input BoM- Manufacturing'!AB41</f>
        <v>kg</v>
      </c>
      <c r="E51" s="210">
        <f>'Input BoM- Manufacturing'!AC41</f>
        <v>0.10428022941650472</v>
      </c>
      <c r="F51" s="203" t="str">
        <f>'Input BoM- Manufacturing'!AD41</f>
        <v>3-Ferro</v>
      </c>
      <c r="G51" s="169"/>
      <c r="H51" s="62" t="str">
        <f t="shared" si="3"/>
        <v/>
      </c>
      <c r="I51" s="175"/>
      <c r="J51" s="31" t="str">
        <f t="shared" si="5"/>
        <v/>
      </c>
      <c r="K51" s="173"/>
      <c r="L51" s="173"/>
      <c r="M51" s="35"/>
      <c r="N51" s="39"/>
      <c r="O51" s="459" t="s">
        <v>610</v>
      </c>
      <c r="P51" s="3" t="s">
        <v>480</v>
      </c>
    </row>
    <row r="52" spans="2:16" customFormat="1">
      <c r="B52" s="206">
        <f>'Input BoM- Manufacturing'!Z42</f>
        <v>0</v>
      </c>
      <c r="C52" s="202">
        <f>'Input BoM- Manufacturing'!AA42</f>
        <v>0</v>
      </c>
      <c r="D52" s="203">
        <f>'Input BoM- Manufacturing'!AB42</f>
        <v>0</v>
      </c>
      <c r="E52" s="210">
        <f>'Input BoM- Manufacturing'!AC42</f>
        <v>0</v>
      </c>
      <c r="F52" s="203">
        <f>'Input BoM- Manufacturing'!AD42</f>
        <v>0</v>
      </c>
      <c r="G52" s="169"/>
      <c r="H52" s="62" t="str">
        <f t="shared" si="3"/>
        <v/>
      </c>
      <c r="I52" s="175"/>
      <c r="J52" s="31" t="str">
        <f t="shared" si="5"/>
        <v/>
      </c>
      <c r="K52" s="173"/>
      <c r="L52" s="173"/>
      <c r="M52" s="35"/>
      <c r="N52" s="39"/>
      <c r="O52" s="31"/>
      <c r="P52" s="31"/>
    </row>
    <row r="53" spans="2:16" customFormat="1">
      <c r="B53" s="206">
        <f>'Input BoM- Manufacturing'!Z43</f>
        <v>0</v>
      </c>
      <c r="C53" s="202">
        <f>'Input BoM- Manufacturing'!AA43</f>
        <v>0</v>
      </c>
      <c r="D53" s="203">
        <f>'Input BoM- Manufacturing'!AB43</f>
        <v>0</v>
      </c>
      <c r="E53" s="210">
        <f>'Input BoM- Manufacturing'!AC43</f>
        <v>0</v>
      </c>
      <c r="F53" s="203">
        <f>'Input BoM- Manufacturing'!AD43</f>
        <v>0</v>
      </c>
      <c r="G53" s="169"/>
      <c r="H53" s="62" t="str">
        <f t="shared" si="3"/>
        <v/>
      </c>
      <c r="I53" s="33"/>
      <c r="J53" s="31" t="str">
        <f t="shared" si="5"/>
        <v/>
      </c>
      <c r="K53" s="31"/>
      <c r="L53" s="31"/>
      <c r="M53" s="35"/>
      <c r="N53" s="39"/>
      <c r="O53" s="31"/>
      <c r="P53" s="31"/>
    </row>
    <row r="54" spans="2:16" customFormat="1">
      <c r="B54" s="206">
        <f>'Input BoM- Manufacturing'!Z44</f>
        <v>0</v>
      </c>
      <c r="C54" s="202">
        <f>'Input BoM- Manufacturing'!AA44</f>
        <v>0</v>
      </c>
      <c r="D54" s="203">
        <f>'Input BoM- Manufacturing'!AB44</f>
        <v>0</v>
      </c>
      <c r="E54" s="210">
        <f>'Input BoM- Manufacturing'!AC44</f>
        <v>0</v>
      </c>
      <c r="F54" s="203">
        <f>'Input BoM- Manufacturing'!AD44</f>
        <v>0</v>
      </c>
      <c r="G54" s="169"/>
      <c r="H54" s="62" t="str">
        <f t="shared" si="3"/>
        <v/>
      </c>
      <c r="I54" s="33"/>
      <c r="J54" s="31" t="str">
        <f t="shared" si="5"/>
        <v/>
      </c>
      <c r="K54" s="22"/>
      <c r="L54" s="22"/>
      <c r="M54" s="35"/>
      <c r="N54" s="39"/>
      <c r="O54" s="31"/>
      <c r="P54" s="31"/>
    </row>
    <row r="55" spans="2:16" customFormat="1" ht="14.5" thickBot="1">
      <c r="B55" s="207">
        <f>'Input BoM- Manufacturing'!Z45</f>
        <v>0</v>
      </c>
      <c r="C55" s="204">
        <f>'Input BoM- Manufacturing'!AA45</f>
        <v>0</v>
      </c>
      <c r="D55" s="205">
        <f>'Input BoM- Manufacturing'!AB45</f>
        <v>0</v>
      </c>
      <c r="E55" s="210">
        <f>'Input BoM- Manufacturing'!AC45</f>
        <v>0</v>
      </c>
      <c r="F55" s="205">
        <f>'Input BoM- Manufacturing'!AD45</f>
        <v>0</v>
      </c>
      <c r="G55" s="176"/>
      <c r="H55" s="70" t="str">
        <f t="shared" si="3"/>
        <v/>
      </c>
      <c r="I55" s="48"/>
      <c r="J55" s="68" t="str">
        <f t="shared" si="5"/>
        <v/>
      </c>
      <c r="K55" s="68"/>
      <c r="L55" s="68"/>
      <c r="M55" s="49"/>
      <c r="N55" s="50"/>
      <c r="O55" s="68"/>
      <c r="P55" s="68"/>
    </row>
    <row r="56" spans="2:16" customFormat="1" ht="14.5" thickBot="1">
      <c r="B56" s="74" t="s">
        <v>363</v>
      </c>
      <c r="C56" s="174">
        <f>SUM(C46:C51)</f>
        <v>105.485</v>
      </c>
      <c r="D56" s="212" t="s">
        <v>309</v>
      </c>
      <c r="E56" s="76">
        <f>SUM(E46:E55)</f>
        <v>1</v>
      </c>
      <c r="F56" s="174"/>
      <c r="G56" s="132"/>
      <c r="H56" s="19"/>
      <c r="I56" s="96"/>
      <c r="J56" s="96"/>
      <c r="K56" s="19"/>
      <c r="L56" s="19"/>
      <c r="M56" s="19"/>
      <c r="N56" s="19"/>
      <c r="O56" s="96"/>
      <c r="P56" s="96"/>
    </row>
    <row r="57" spans="2:16" customFormat="1" ht="14.5" thickBot="1">
      <c r="G57" s="3"/>
    </row>
    <row r="58" spans="2:16" customFormat="1" ht="14.5" thickBot="1">
      <c r="B58" s="55" t="s">
        <v>364</v>
      </c>
      <c r="C58" s="56">
        <f>C42+C56</f>
        <v>996.77</v>
      </c>
      <c r="D58" s="77" t="s">
        <v>309</v>
      </c>
      <c r="G58" s="3"/>
    </row>
    <row r="59" spans="2:16" customFormat="1">
      <c r="G59" s="3"/>
    </row>
    <row r="61" spans="2:16" s="99" customFormat="1" ht="21">
      <c r="B61" s="54" t="s">
        <v>501</v>
      </c>
      <c r="C61" s="54"/>
      <c r="D61" s="54"/>
    </row>
    <row r="62" spans="2:16" ht="14.5" thickBot="1">
      <c r="B62" s="100"/>
    </row>
    <row r="63" spans="2:16" s="4" customFormat="1" ht="14.5" thickBot="1">
      <c r="B63" s="101" t="str">
        <f>'Input BoM- Manufacturing'!Z55</f>
        <v>Energy used in manufacturing</v>
      </c>
      <c r="C63" s="18" t="str">
        <f>'Input BoM- Manufacturing'!AA55</f>
        <v>Value</v>
      </c>
      <c r="D63" s="18" t="str">
        <f>'Input BoM- Manufacturing'!AB55</f>
        <v>Unit</v>
      </c>
      <c r="E63" s="18" t="s">
        <v>458</v>
      </c>
      <c r="F63" s="18" t="s">
        <v>459</v>
      </c>
      <c r="G63" s="18" t="s">
        <v>502</v>
      </c>
      <c r="H63" s="18" t="s">
        <v>503</v>
      </c>
      <c r="I63" s="18" t="s">
        <v>461</v>
      </c>
      <c r="J63" s="17" t="s">
        <v>462</v>
      </c>
      <c r="K63" s="102" t="s">
        <v>463</v>
      </c>
    </row>
    <row r="64" spans="2:16">
      <c r="B64" s="78" t="str">
        <f>'Input BoM- Manufacturing'!Z56</f>
        <v>Electricity</v>
      </c>
      <c r="C64" s="78">
        <f>'Input BoM- Manufacturing'!AA56</f>
        <v>250</v>
      </c>
      <c r="D64" s="78" t="str">
        <f>'Input BoM- Manufacturing'!AB56</f>
        <v>kWh</v>
      </c>
      <c r="E64" s="78"/>
      <c r="F64" s="78" t="str">
        <f>IF(E64="Stakeholder input","High quality",IF(E64="Previous study","Medium quality",IF(E64="Literature","Medium quality",IF(E64="Googling","Fair quality",IF(E64="Scientific literature","High quality",IF(E64="Expert judgement","Medium quality",""))))))</f>
        <v/>
      </c>
      <c r="G64" s="78"/>
      <c r="H64" s="78"/>
      <c r="I64" s="82"/>
      <c r="J64" s="103"/>
      <c r="K64" s="104"/>
    </row>
    <row r="65" spans="2:11" ht="14.5" thickBot="1">
      <c r="B65" s="21" t="str">
        <f>'Input BoM- Manufacturing'!Z57</f>
        <v>Heat</v>
      </c>
      <c r="C65" s="159">
        <f>'Input BoM- Manufacturing'!AA57</f>
        <v>0</v>
      </c>
      <c r="D65" s="21">
        <f>'Input BoM- Manufacturing'!AB57</f>
        <v>0</v>
      </c>
      <c r="E65" s="21"/>
      <c r="F65" s="21"/>
      <c r="G65" s="21"/>
      <c r="H65" s="21"/>
      <c r="I65" s="38"/>
      <c r="J65" s="105"/>
      <c r="K65" s="106"/>
    </row>
    <row r="66" spans="2:11" ht="14.5" thickBot="1"/>
    <row r="67" spans="2:11" s="4" customFormat="1" ht="14.5" thickBot="1">
      <c r="B67" s="101" t="str">
        <f>'Input BoM- Manufacturing'!Z59</f>
        <v>Additional materials used in manufacturing</v>
      </c>
      <c r="C67" s="18" t="str">
        <f>'Input BoM- Manufacturing'!AA59</f>
        <v>Value</v>
      </c>
      <c r="D67" s="18" t="str">
        <f>'Input BoM- Manufacturing'!AB59</f>
        <v>Unit</v>
      </c>
      <c r="E67" s="18" t="s">
        <v>458</v>
      </c>
      <c r="F67" s="18" t="s">
        <v>459</v>
      </c>
      <c r="G67" s="18" t="s">
        <v>460</v>
      </c>
      <c r="H67" s="18" t="s">
        <v>503</v>
      </c>
      <c r="I67" s="18" t="s">
        <v>461</v>
      </c>
      <c r="J67" s="17" t="s">
        <v>462</v>
      </c>
      <c r="K67" s="102" t="s">
        <v>463</v>
      </c>
    </row>
    <row r="68" spans="2:11" ht="14.5">
      <c r="B68" s="107" t="str">
        <f>'Input BoM- Manufacturing'!Z60</f>
        <v>n.a.</v>
      </c>
      <c r="C68" s="78">
        <f>'Input BoM- Manufacturing'!AA60</f>
        <v>0</v>
      </c>
      <c r="D68" s="78">
        <f>'Input BoM- Manufacturing'!AB60</f>
        <v>0</v>
      </c>
      <c r="E68" s="78"/>
      <c r="F68" s="78" t="str">
        <f>IF(E68="Stakeholder input", "High quality",IF(E68="Previous study", "Medium quality", IF(E68="Literature","Low quality",IF(E68="Googling","Low quality",""))))</f>
        <v/>
      </c>
      <c r="G68" s="78"/>
      <c r="H68" s="78"/>
      <c r="J68" s="103"/>
      <c r="K68" s="104"/>
    </row>
    <row r="69" spans="2:11">
      <c r="B69" s="22">
        <f>'Input BoM- Manufacturing'!Z61</f>
        <v>0</v>
      </c>
      <c r="C69" s="22">
        <f>'Input BoM- Manufacturing'!AA61</f>
        <v>0</v>
      </c>
      <c r="D69" s="22">
        <f>'Input BoM- Manufacturing'!AB61</f>
        <v>0</v>
      </c>
      <c r="E69" s="22"/>
      <c r="F69" s="22"/>
      <c r="G69" s="22"/>
      <c r="H69" s="22"/>
      <c r="I69" s="22"/>
      <c r="J69" s="108"/>
      <c r="K69" s="109"/>
    </row>
    <row r="70" spans="2:11">
      <c r="B70" s="22">
        <f>'Input BoM- Manufacturing'!Z62</f>
        <v>0</v>
      </c>
      <c r="C70" s="22">
        <f>'Input BoM- Manufacturing'!AA62</f>
        <v>0</v>
      </c>
      <c r="D70" s="22">
        <f>'Input BoM- Manufacturing'!AB62</f>
        <v>0</v>
      </c>
      <c r="E70" s="22"/>
      <c r="F70" s="22" t="str">
        <f>IF(E70="Stakeholder input", "High quality",IF(E70="Previous study", "Medium quality", IF(E70="Literature","Low quality",IF(E70="Googling","Low quality",""))))</f>
        <v/>
      </c>
      <c r="G70" s="22"/>
      <c r="H70" s="22"/>
      <c r="I70" s="22"/>
      <c r="J70" s="108"/>
      <c r="K70" s="109"/>
    </row>
    <row r="71" spans="2:11" ht="14.5" thickBot="1">
      <c r="B71" s="21">
        <f>'Input BoM- Manufacturing'!Z63</f>
        <v>0</v>
      </c>
      <c r="C71" s="21">
        <f>'Input BoM- Manufacturing'!AA63</f>
        <v>0</v>
      </c>
      <c r="D71" s="21">
        <f>'Input BoM- Manufacturing'!AB63</f>
        <v>0</v>
      </c>
      <c r="E71" s="21"/>
      <c r="F71" s="21"/>
      <c r="G71" s="21"/>
      <c r="H71" s="21"/>
      <c r="I71" s="38"/>
      <c r="J71" s="105"/>
      <c r="K71" s="106"/>
    </row>
    <row r="72" spans="2:11" ht="14.5" thickBot="1"/>
    <row r="73" spans="2:11" ht="14.5" thickBot="1">
      <c r="B73" s="498" t="s">
        <v>505</v>
      </c>
      <c r="C73" s="499" t="s">
        <v>305</v>
      </c>
      <c r="D73" s="500" t="s">
        <v>7</v>
      </c>
      <c r="E73" s="500" t="s">
        <v>506</v>
      </c>
      <c r="F73" s="501" t="s">
        <v>507</v>
      </c>
      <c r="G73" s="500" t="s">
        <v>508</v>
      </c>
      <c r="H73" s="502" t="s">
        <v>509</v>
      </c>
    </row>
    <row r="74" spans="2:11" s="4" customFormat="1">
      <c r="B74" s="503" t="str">
        <f>B17</f>
        <v>Stainless steel</v>
      </c>
      <c r="C74" s="504">
        <f t="shared" ref="C74:D74" si="6">C17</f>
        <v>642.25</v>
      </c>
      <c r="D74" s="505" t="str">
        <f t="shared" si="6"/>
        <v>kg</v>
      </c>
      <c r="E74" s="707">
        <f>SUM(C74:C76)</f>
        <v>670.21</v>
      </c>
      <c r="F74" s="708" t="s">
        <v>510</v>
      </c>
      <c r="G74" s="708" t="s">
        <v>511</v>
      </c>
      <c r="H74" s="709" t="s">
        <v>512</v>
      </c>
    </row>
    <row r="75" spans="2:11" s="4" customFormat="1">
      <c r="B75" s="490" t="str">
        <f t="shared" ref="B75:D76" si="7">B24</f>
        <v>Pumps (stack of sheets)</v>
      </c>
      <c r="C75" s="483">
        <f t="shared" si="7"/>
        <v>15.625</v>
      </c>
      <c r="D75" s="482" t="str">
        <f t="shared" si="7"/>
        <v>kg</v>
      </c>
      <c r="E75" s="688"/>
      <c r="F75" s="689"/>
      <c r="G75" s="689"/>
      <c r="H75" s="690"/>
    </row>
    <row r="76" spans="2:11" s="4" customFormat="1">
      <c r="B76" s="490" t="str">
        <f t="shared" si="7"/>
        <v>Pumps (stainless steel wave)</v>
      </c>
      <c r="C76" s="483">
        <f t="shared" si="7"/>
        <v>12.335000000000001</v>
      </c>
      <c r="D76" s="482" t="str">
        <f t="shared" si="7"/>
        <v>kg</v>
      </c>
      <c r="E76" s="688"/>
      <c r="F76" s="689"/>
      <c r="G76" s="689"/>
      <c r="H76" s="690"/>
    </row>
    <row r="77" spans="2:11" ht="14.5" customHeight="1">
      <c r="B77" s="490" t="str">
        <f t="shared" ref="B77:D77" si="8">B18</f>
        <v>Polypropylene (PP)</v>
      </c>
      <c r="C77" s="483">
        <f t="shared" si="8"/>
        <v>55.5</v>
      </c>
      <c r="D77" s="482" t="str">
        <f t="shared" si="8"/>
        <v>kg</v>
      </c>
      <c r="E77" s="687">
        <f>SUM(C77:C83)</f>
        <v>97.85</v>
      </c>
      <c r="F77" s="689" t="s">
        <v>513</v>
      </c>
      <c r="G77" s="484" t="s">
        <v>511</v>
      </c>
      <c r="H77" s="690" t="s">
        <v>514</v>
      </c>
    </row>
    <row r="78" spans="2:11">
      <c r="B78" s="490" t="str">
        <f t="shared" ref="B78:D78" si="9">B19</f>
        <v>Polyamide (PA)</v>
      </c>
      <c r="C78" s="483">
        <f t="shared" si="9"/>
        <v>6.14</v>
      </c>
      <c r="D78" s="482" t="str">
        <f t="shared" si="9"/>
        <v>kg</v>
      </c>
      <c r="E78" s="688"/>
      <c r="F78" s="689"/>
      <c r="G78" s="689" t="s">
        <v>515</v>
      </c>
      <c r="H78" s="690"/>
    </row>
    <row r="79" spans="2:11">
      <c r="B79" s="490" t="str">
        <f t="shared" ref="B79:D79" si="10">B20</f>
        <v>Polyvinyl chloride (PVC)</v>
      </c>
      <c r="C79" s="483">
        <f t="shared" si="10"/>
        <v>4.5999999999999996</v>
      </c>
      <c r="D79" s="482" t="str">
        <f t="shared" si="10"/>
        <v>kg</v>
      </c>
      <c r="E79" s="688"/>
      <c r="F79" s="689"/>
      <c r="G79" s="689"/>
      <c r="H79" s="690"/>
    </row>
    <row r="80" spans="2:11">
      <c r="B80" s="490" t="str">
        <f t="shared" ref="B80:D81" si="11">B34</f>
        <v>Cable sheath (PVC)</v>
      </c>
      <c r="C80" s="483">
        <f t="shared" si="11"/>
        <v>8.64</v>
      </c>
      <c r="D80" s="482" t="str">
        <f t="shared" si="11"/>
        <v>kg</v>
      </c>
      <c r="E80" s="688"/>
      <c r="F80" s="689"/>
      <c r="G80" s="689"/>
      <c r="H80" s="690"/>
    </row>
    <row r="81" spans="2:8">
      <c r="B81" s="490" t="str">
        <f t="shared" si="11"/>
        <v>Cable sheath (silicone, EDPM)</v>
      </c>
      <c r="C81" s="483">
        <f t="shared" si="11"/>
        <v>5.17</v>
      </c>
      <c r="D81" s="482" t="str">
        <f t="shared" si="11"/>
        <v>kg</v>
      </c>
      <c r="E81" s="688"/>
      <c r="F81" s="689"/>
      <c r="G81" s="689"/>
      <c r="H81" s="690"/>
    </row>
    <row r="82" spans="2:8">
      <c r="B82" s="490" t="str">
        <f>B37</f>
        <v>Gaskets (EDPM)</v>
      </c>
      <c r="C82" s="483">
        <f>C37</f>
        <v>12.8</v>
      </c>
      <c r="D82" s="482" t="str">
        <f>D37</f>
        <v>kg</v>
      </c>
      <c r="E82" s="688"/>
      <c r="F82" s="689"/>
      <c r="G82" s="689"/>
      <c r="H82" s="690"/>
    </row>
    <row r="83" spans="2:8">
      <c r="B83" s="490" t="str">
        <f t="shared" ref="B83:D83" si="12">B22</f>
        <v>Acrylonitrile Butadiene Styrene (ABS)</v>
      </c>
      <c r="C83" s="483">
        <f t="shared" si="12"/>
        <v>5</v>
      </c>
      <c r="D83" s="482" t="str">
        <f t="shared" si="12"/>
        <v>kg</v>
      </c>
      <c r="E83" s="688"/>
      <c r="F83" s="689"/>
      <c r="G83" s="689"/>
      <c r="H83" s="690"/>
    </row>
    <row r="84" spans="2:8" ht="28">
      <c r="B84" s="490" t="str">
        <f>B21</f>
        <v>Polystyrene (PS)</v>
      </c>
      <c r="C84" s="483">
        <f>C21</f>
        <v>4.43</v>
      </c>
      <c r="D84" s="482" t="str">
        <f>D21</f>
        <v>kg</v>
      </c>
      <c r="E84" s="483">
        <f>C84</f>
        <v>4.43</v>
      </c>
      <c r="F84" s="484" t="s">
        <v>516</v>
      </c>
      <c r="G84" s="484" t="s">
        <v>515</v>
      </c>
      <c r="H84" s="491" t="s">
        <v>517</v>
      </c>
    </row>
    <row r="85" spans="2:8">
      <c r="B85" s="490" t="str">
        <f t="shared" ref="B85:D85" si="13">B23</f>
        <v>Pumps (copper)</v>
      </c>
      <c r="C85" s="483">
        <f t="shared" si="13"/>
        <v>16.824999999999999</v>
      </c>
      <c r="D85" s="482" t="str">
        <f t="shared" si="13"/>
        <v>kg</v>
      </c>
      <c r="E85" s="687">
        <f>SUM(C85:C90)</f>
        <v>65.364999999999995</v>
      </c>
      <c r="F85" s="689" t="s">
        <v>520</v>
      </c>
      <c r="G85" s="689" t="s">
        <v>511</v>
      </c>
      <c r="H85" s="690" t="s">
        <v>521</v>
      </c>
    </row>
    <row r="86" spans="2:8">
      <c r="B86" s="490" t="str">
        <f>B28</f>
        <v>Condenser (Cu)</v>
      </c>
      <c r="C86" s="483">
        <f>C28</f>
        <v>7.08</v>
      </c>
      <c r="D86" s="482" t="str">
        <f>D28</f>
        <v>kg</v>
      </c>
      <c r="E86" s="688"/>
      <c r="F86" s="689"/>
      <c r="G86" s="689"/>
      <c r="H86" s="690"/>
    </row>
    <row r="87" spans="2:8">
      <c r="B87" s="490" t="str">
        <f>B30</f>
        <v>Ventilator, fan (Cu)</v>
      </c>
      <c r="C87" s="483">
        <f>C30</f>
        <v>10.16</v>
      </c>
      <c r="D87" s="482" t="str">
        <f>D30</f>
        <v>kg</v>
      </c>
      <c r="E87" s="688"/>
      <c r="F87" s="689"/>
      <c r="G87" s="689"/>
      <c r="H87" s="690"/>
    </row>
    <row r="88" spans="2:8">
      <c r="B88" s="490" t="str">
        <f t="shared" ref="B88:D89" si="14">B32</f>
        <v>Drive motor (Cu)</v>
      </c>
      <c r="C88" s="483">
        <f t="shared" si="14"/>
        <v>5</v>
      </c>
      <c r="D88" s="482" t="str">
        <f t="shared" si="14"/>
        <v>kg</v>
      </c>
      <c r="E88" s="688"/>
      <c r="F88" s="689"/>
      <c r="G88" s="689"/>
      <c r="H88" s="690"/>
    </row>
    <row r="89" spans="2:8">
      <c r="B89" s="490" t="str">
        <f t="shared" si="14"/>
        <v>Cable (copper)</v>
      </c>
      <c r="C89" s="483">
        <f t="shared" si="14"/>
        <v>16.3</v>
      </c>
      <c r="D89" s="482" t="str">
        <f t="shared" si="14"/>
        <v>kg</v>
      </c>
      <c r="E89" s="688"/>
      <c r="F89" s="689"/>
      <c r="G89" s="689"/>
      <c r="H89" s="690"/>
    </row>
    <row r="90" spans="2:8">
      <c r="B90" s="490" t="str">
        <f>B36</f>
        <v>Electric contactor (copper)</v>
      </c>
      <c r="C90" s="483">
        <f>C36</f>
        <v>10</v>
      </c>
      <c r="D90" s="482" t="str">
        <f>D36</f>
        <v>kg</v>
      </c>
      <c r="E90" s="688"/>
      <c r="F90" s="689"/>
      <c r="G90" s="689"/>
      <c r="H90" s="690"/>
    </row>
    <row r="91" spans="2:8">
      <c r="B91" s="490" t="str">
        <f t="shared" ref="B91:D91" si="15">B26</f>
        <v>Pumps (Al)</v>
      </c>
      <c r="C91" s="483">
        <f t="shared" si="15"/>
        <v>17.47</v>
      </c>
      <c r="D91" s="482" t="str">
        <f t="shared" si="15"/>
        <v>kg</v>
      </c>
      <c r="E91" s="687">
        <f>SUM(C91:C94)</f>
        <v>43.629999999999995</v>
      </c>
      <c r="F91" s="689" t="s">
        <v>518</v>
      </c>
      <c r="G91" s="689" t="s">
        <v>511</v>
      </c>
      <c r="H91" s="690" t="s">
        <v>519</v>
      </c>
    </row>
    <row r="92" spans="2:8">
      <c r="B92" s="490" t="str">
        <f t="shared" ref="B92:D92" si="16">B27</f>
        <v>Condenser (AL)</v>
      </c>
      <c r="C92" s="483">
        <f t="shared" si="16"/>
        <v>4.72</v>
      </c>
      <c r="D92" s="482" t="str">
        <f t="shared" si="16"/>
        <v>kg</v>
      </c>
      <c r="E92" s="688"/>
      <c r="F92" s="689"/>
      <c r="G92" s="689"/>
      <c r="H92" s="690"/>
    </row>
    <row r="93" spans="2:8">
      <c r="B93" s="490" t="str">
        <f>B29</f>
        <v>Ventilator, fan (AL)</v>
      </c>
      <c r="C93" s="483">
        <f>C29</f>
        <v>17.440000000000001</v>
      </c>
      <c r="D93" s="482" t="str">
        <f>D29</f>
        <v>kg</v>
      </c>
      <c r="E93" s="688"/>
      <c r="F93" s="689"/>
      <c r="G93" s="689"/>
      <c r="H93" s="690"/>
    </row>
    <row r="94" spans="2:8">
      <c r="B94" s="490" t="str">
        <f>B31</f>
        <v>Drive motor (AL)</v>
      </c>
      <c r="C94" s="483">
        <f>C31</f>
        <v>4</v>
      </c>
      <c r="D94" s="482" t="str">
        <f>D31</f>
        <v>kg</v>
      </c>
      <c r="E94" s="688"/>
      <c r="F94" s="689"/>
      <c r="G94" s="689"/>
      <c r="H94" s="690"/>
    </row>
    <row r="95" spans="2:8" ht="42.5" thickBot="1">
      <c r="B95" s="492" t="str">
        <f>B38</f>
        <v>Electronics (control)</v>
      </c>
      <c r="C95" s="493">
        <f>C38</f>
        <v>3.1818181818181821</v>
      </c>
      <c r="D95" s="494" t="str">
        <f>D38</f>
        <v>m2</v>
      </c>
      <c r="E95" s="493">
        <f>C95</f>
        <v>3.1818181818181821</v>
      </c>
      <c r="F95" s="496" t="s">
        <v>522</v>
      </c>
      <c r="G95" s="496" t="s">
        <v>511</v>
      </c>
      <c r="H95" s="497" t="s">
        <v>523</v>
      </c>
    </row>
    <row r="98" spans="2:12" s="110" customFormat="1" ht="21">
      <c r="B98" s="52" t="s">
        <v>524</v>
      </c>
      <c r="D98" s="52"/>
      <c r="E98" s="52"/>
    </row>
    <row r="99" spans="2:12" s="4" customFormat="1" ht="21">
      <c r="B99" s="10"/>
      <c r="D99" s="10"/>
      <c r="E99" s="10"/>
    </row>
    <row r="100" spans="2:12" s="4" customFormat="1" ht="15" thickBot="1">
      <c r="B100" s="95" t="s">
        <v>373</v>
      </c>
      <c r="E100" s="13" t="s">
        <v>525</v>
      </c>
    </row>
    <row r="101" spans="2:12" s="4" customFormat="1" ht="16" customHeight="1" thickBot="1">
      <c r="B101" s="101" t="str">
        <f>'Input BoM- Manufacturing'!Z70</f>
        <v>Transport - lorry</v>
      </c>
      <c r="C101" s="18" t="str">
        <f>'Input BoM- Manufacturing'!AA70</f>
        <v>Value</v>
      </c>
      <c r="D101" s="18" t="str">
        <f>'Input BoM- Manufacturing'!AB70</f>
        <v>Unit</v>
      </c>
      <c r="E101" s="18" t="s">
        <v>458</v>
      </c>
      <c r="F101" s="18" t="s">
        <v>459</v>
      </c>
      <c r="G101" s="18" t="s">
        <v>526</v>
      </c>
      <c r="H101" s="18" t="s">
        <v>503</v>
      </c>
      <c r="I101" s="18" t="s">
        <v>461</v>
      </c>
      <c r="J101" s="17" t="s">
        <v>462</v>
      </c>
      <c r="K101" s="102" t="s">
        <v>463</v>
      </c>
    </row>
    <row r="102" spans="2:12" s="4" customFormat="1" ht="14.5">
      <c r="B102" s="94" t="str">
        <f>'Input BoM- Manufacturing'!Z71</f>
        <v>Weight of product (incl. packaging)</v>
      </c>
      <c r="C102" s="265">
        <f>'Input BoM- Manufacturing'!AA71</f>
        <v>0.99676999999999993</v>
      </c>
      <c r="D102" s="112" t="str">
        <f>'Input BoM- Manufacturing'!AB71</f>
        <v>ton</v>
      </c>
      <c r="E102" s="47"/>
      <c r="F102" s="47" t="str">
        <f>IF(E102="Stakeholder input","High quality",IF(E102="Previous study","Medium quality",IF(E102="Literature","Medium quality",IF(E102="Googling","Fair quality",IF(E102="Scientific literature","High quality",IF(E102="Expert judgement","Medium quality",""))))))</f>
        <v/>
      </c>
      <c r="G102" s="60" t="s">
        <v>527</v>
      </c>
      <c r="H102" s="82"/>
      <c r="I102" s="82"/>
      <c r="J102" s="103"/>
      <c r="K102" s="104"/>
    </row>
    <row r="103" spans="2:12" s="4" customFormat="1" ht="42.5" thickBot="1">
      <c r="B103" s="93" t="str">
        <f>'Input BoM- Manufacturing'!Z72</f>
        <v>Distance</v>
      </c>
      <c r="C103" s="113">
        <f>'Input BoM- Manufacturing'!AA72</f>
        <v>1330</v>
      </c>
      <c r="D103" s="113" t="str">
        <f>'Input BoM- Manufacturing'!AB72</f>
        <v>km</v>
      </c>
      <c r="E103" s="37"/>
      <c r="F103" s="37" t="str">
        <f t="shared" ref="F103" si="17">IF(E103="Stakeholder input","High quality",IF(E103="Previous study","Medium quality",IF(E103="Literature","Medium quality",IF(E103="Googling","Fair quality",IF(E103="Scientific literature","High quality",IF(E103="Expert judgement","Medium quality",""))))))</f>
        <v/>
      </c>
      <c r="G103" s="21" t="s">
        <v>529</v>
      </c>
      <c r="H103" s="21"/>
      <c r="I103" s="38"/>
      <c r="J103" s="105"/>
      <c r="K103" s="106"/>
    </row>
    <row r="104" spans="2:12" s="4" customFormat="1">
      <c r="B104" s="11"/>
      <c r="C104" s="114"/>
      <c r="D104" s="114"/>
      <c r="J104" s="115"/>
    </row>
    <row r="105" spans="2:12" s="4" customFormat="1" ht="14.5" thickBot="1">
      <c r="C105" s="114"/>
      <c r="D105" s="114"/>
    </row>
    <row r="106" spans="2:12" s="4" customFormat="1" ht="16" customHeight="1" thickBot="1">
      <c r="B106" s="101" t="str">
        <f>'Input BoM- Manufacturing'!Z75</f>
        <v>Transport - train</v>
      </c>
      <c r="C106" s="18" t="str">
        <f>'Input BoM- Manufacturing'!AA75</f>
        <v>Value</v>
      </c>
      <c r="D106" s="18" t="str">
        <f>'Input BoM- Manufacturing'!AB75</f>
        <v>Unit</v>
      </c>
      <c r="E106" s="18" t="s">
        <v>458</v>
      </c>
      <c r="F106" s="18" t="s">
        <v>459</v>
      </c>
      <c r="G106" s="18" t="s">
        <v>526</v>
      </c>
      <c r="H106" s="18" t="s">
        <v>503</v>
      </c>
      <c r="I106" s="18" t="s">
        <v>461</v>
      </c>
      <c r="J106" s="17" t="s">
        <v>462</v>
      </c>
      <c r="K106" s="102" t="s">
        <v>463</v>
      </c>
    </row>
    <row r="107" spans="2:12" s="4" customFormat="1" ht="14.5">
      <c r="B107" s="94" t="str">
        <f>'Input BoM- Manufacturing'!Z76</f>
        <v>Weight of product (incl. packaging)</v>
      </c>
      <c r="C107" s="266">
        <f>'Input BoM- Manufacturing'!AA76</f>
        <v>0.99676999999999993</v>
      </c>
      <c r="D107" s="112" t="str">
        <f>'Input BoM- Manufacturing'!AB76</f>
        <v>ton</v>
      </c>
      <c r="E107" s="47"/>
      <c r="F107" s="47" t="str">
        <f>IF(E107="Stakeholder input","High quality",IF(E107="Previous study","Medium quality",IF(E107="Literature","Medium quality",IF(E107="Googling","Fair quality",IF(E107="Scientific literature","High quality",IF(E107="Expert judgement","Medium quality",""))))))</f>
        <v/>
      </c>
      <c r="G107" s="60" t="s">
        <v>527</v>
      </c>
      <c r="H107" s="82"/>
      <c r="I107" s="82"/>
      <c r="J107" s="103"/>
      <c r="K107" s="104"/>
    </row>
    <row r="108" spans="2:12" s="4" customFormat="1" ht="42.5" thickBot="1">
      <c r="B108" s="93" t="str">
        <f>'Input BoM- Manufacturing'!Z77</f>
        <v>Distance</v>
      </c>
      <c r="C108" s="113">
        <f>'Input BoM- Manufacturing'!AA77</f>
        <v>240</v>
      </c>
      <c r="D108" s="113" t="str">
        <f>'Input BoM- Manufacturing'!AB77</f>
        <v>km</v>
      </c>
      <c r="E108" s="37"/>
      <c r="F108" s="37" t="str">
        <f t="shared" ref="F108" si="18">IF(E108="Stakeholder input","High quality",IF(E108="Previous study","Medium quality",IF(E108="Literature","Medium quality",IF(E108="Googling","Fair quality",IF(E108="Scientific literature","High quality",IF(E108="Expert judgement","Medium quality",""))))))</f>
        <v/>
      </c>
      <c r="G108" s="21" t="s">
        <v>531</v>
      </c>
      <c r="H108" s="21"/>
      <c r="I108" s="38"/>
      <c r="J108" s="105"/>
      <c r="K108" s="106"/>
      <c r="L108" s="12"/>
    </row>
    <row r="109" spans="2:12" s="4" customFormat="1">
      <c r="C109" s="114"/>
      <c r="D109" s="114"/>
    </row>
    <row r="110" spans="2:12" s="4" customFormat="1" ht="14.5" thickBot="1">
      <c r="C110" s="114"/>
      <c r="D110" s="114"/>
    </row>
    <row r="111" spans="2:12" s="4" customFormat="1" ht="16" customHeight="1" thickBot="1">
      <c r="B111" s="101" t="str">
        <f>'Input BoM- Manufacturing'!Z80</f>
        <v>Transport - ship</v>
      </c>
      <c r="C111" s="18" t="str">
        <f>'Input BoM- Manufacturing'!AA80</f>
        <v>Value</v>
      </c>
      <c r="D111" s="18" t="str">
        <f>'Input BoM- Manufacturing'!AB80</f>
        <v>Unit</v>
      </c>
      <c r="E111" s="18" t="s">
        <v>458</v>
      </c>
      <c r="F111" s="18" t="s">
        <v>459</v>
      </c>
      <c r="G111" s="18" t="s">
        <v>526</v>
      </c>
      <c r="H111" s="18" t="s">
        <v>503</v>
      </c>
      <c r="I111" s="18" t="s">
        <v>461</v>
      </c>
      <c r="J111" s="17" t="s">
        <v>462</v>
      </c>
      <c r="K111" s="102" t="s">
        <v>463</v>
      </c>
    </row>
    <row r="112" spans="2:12" s="4" customFormat="1" ht="14.5">
      <c r="B112" s="94" t="str">
        <f>'Input BoM- Manufacturing'!Z81</f>
        <v>Weight of product (incl. packaging)</v>
      </c>
      <c r="C112" s="266">
        <f>'Input BoM- Manufacturing'!AA81</f>
        <v>0.99676999999999993</v>
      </c>
      <c r="D112" s="112" t="str">
        <f>'Input BoM- Manufacturing'!AB81</f>
        <v>ton</v>
      </c>
      <c r="E112" s="47"/>
      <c r="F112" s="47" t="str">
        <f>IF(E112="Stakeholder input","High quality",IF(E112="Previous study","Medium quality",IF(E112="Literature","Medium quality",IF(E112="Googling","Fair quality",IF(E112="Scientific literature","High quality",IF(E112="Expert judgement","Medium quality",""))))))</f>
        <v/>
      </c>
      <c r="G112" s="60" t="s">
        <v>527</v>
      </c>
      <c r="H112" s="82"/>
      <c r="I112" s="82"/>
      <c r="J112" s="103"/>
      <c r="K112" s="104"/>
    </row>
    <row r="113" spans="2:12" s="4" customFormat="1" ht="42.5" thickBot="1">
      <c r="B113" s="93" t="str">
        <f>'Input BoM- Manufacturing'!Z82</f>
        <v>Distance</v>
      </c>
      <c r="C113" s="113">
        <f>'Input BoM- Manufacturing'!AA82</f>
        <v>270</v>
      </c>
      <c r="D113" s="113" t="str">
        <f>'Input BoM- Manufacturing'!AB82</f>
        <v>km</v>
      </c>
      <c r="E113" s="37"/>
      <c r="F113" s="37" t="str">
        <f t="shared" ref="F113" si="19">IF(E113="Stakeholder input","High quality",IF(E113="Previous study","Medium quality",IF(E113="Literature","Medium quality",IF(E113="Googling","Fair quality",IF(E113="Scientific literature","High quality",IF(E113="Expert judgement","Medium quality",""))))))</f>
        <v/>
      </c>
      <c r="G113" s="21" t="s">
        <v>532</v>
      </c>
      <c r="H113" s="21"/>
      <c r="I113" s="38"/>
      <c r="J113" s="105"/>
      <c r="K113" s="106"/>
      <c r="L113" s="12"/>
    </row>
    <row r="116" spans="2:12" ht="14.5" thickBot="1"/>
    <row r="117" spans="2:12" ht="14.5" thickBot="1">
      <c r="B117" s="116" t="s">
        <v>530</v>
      </c>
      <c r="C117" s="117" t="s">
        <v>377</v>
      </c>
      <c r="D117" s="117" t="s">
        <v>7</v>
      </c>
      <c r="E117" s="117" t="s">
        <v>533</v>
      </c>
      <c r="F117" s="118" t="s">
        <v>526</v>
      </c>
      <c r="G117" s="119"/>
    </row>
    <row r="118" spans="2:12" ht="14.5">
      <c r="B118" s="699" t="s">
        <v>534</v>
      </c>
      <c r="C118" s="30">
        <v>130</v>
      </c>
      <c r="D118" s="30" t="s">
        <v>378</v>
      </c>
      <c r="E118" s="30" t="s">
        <v>535</v>
      </c>
      <c r="F118" s="701" t="s">
        <v>536</v>
      </c>
      <c r="G118" s="702"/>
    </row>
    <row r="119" spans="2:12" ht="14.5">
      <c r="B119" s="700"/>
      <c r="C119" s="2">
        <v>240</v>
      </c>
      <c r="D119" s="2" t="s">
        <v>378</v>
      </c>
      <c r="E119" s="2" t="s">
        <v>537</v>
      </c>
      <c r="F119" s="703" t="s">
        <v>536</v>
      </c>
      <c r="G119" s="704"/>
    </row>
    <row r="120" spans="2:12" ht="14.5">
      <c r="B120" s="700"/>
      <c r="C120" s="2">
        <v>270</v>
      </c>
      <c r="D120" s="2" t="s">
        <v>378</v>
      </c>
      <c r="E120" s="2" t="s">
        <v>538</v>
      </c>
      <c r="F120" s="703" t="s">
        <v>536</v>
      </c>
      <c r="G120" s="704"/>
    </row>
    <row r="121" spans="2:12" ht="15" thickBot="1">
      <c r="B121" s="120" t="s">
        <v>539</v>
      </c>
      <c r="C121" s="92">
        <v>1200</v>
      </c>
      <c r="D121" s="92" t="s">
        <v>378</v>
      </c>
      <c r="E121" s="92" t="s">
        <v>535</v>
      </c>
      <c r="F121" s="691" t="s">
        <v>540</v>
      </c>
      <c r="G121" s="692"/>
    </row>
    <row r="124" spans="2:12" s="99" customFormat="1" ht="21">
      <c r="B124" s="54" t="s">
        <v>541</v>
      </c>
      <c r="D124" s="54"/>
      <c r="E124" s="54"/>
      <c r="F124" s="54"/>
      <c r="G124" s="54"/>
    </row>
    <row r="126" spans="2:12" ht="15" thickBot="1">
      <c r="E126" s="13" t="s">
        <v>525</v>
      </c>
    </row>
    <row r="127" spans="2:12" s="114" customFormat="1" ht="14.5" thickBot="1">
      <c r="B127" s="18" t="s">
        <v>382</v>
      </c>
      <c r="C127" s="18" t="s">
        <v>305</v>
      </c>
      <c r="D127" s="18" t="s">
        <v>7</v>
      </c>
      <c r="E127" s="18" t="s">
        <v>458</v>
      </c>
      <c r="F127" s="18" t="s">
        <v>459</v>
      </c>
      <c r="G127" s="18" t="s">
        <v>460</v>
      </c>
      <c r="H127" s="18" t="s">
        <v>503</v>
      </c>
      <c r="I127" s="18" t="s">
        <v>461</v>
      </c>
      <c r="J127" s="17" t="s">
        <v>462</v>
      </c>
      <c r="K127" s="102" t="s">
        <v>463</v>
      </c>
    </row>
    <row r="128" spans="2:12" s="114" customFormat="1" ht="14.5" thickBot="1">
      <c r="B128" s="121" t="s">
        <v>383</v>
      </c>
      <c r="C128" s="58"/>
      <c r="D128" s="58"/>
      <c r="E128" s="58"/>
      <c r="F128" s="58"/>
      <c r="G128" s="58"/>
      <c r="H128" s="58"/>
      <c r="I128" s="58"/>
      <c r="J128" s="58"/>
      <c r="K128" s="58"/>
    </row>
    <row r="129" spans="2:11">
      <c r="B129" s="78" t="s">
        <v>384</v>
      </c>
      <c r="C129" s="122">
        <f>'Input use - economics'!K7</f>
        <v>109462.64999999998</v>
      </c>
      <c r="D129" s="251" t="str">
        <f>'Input use - economics'!L7</f>
        <v>kWh</v>
      </c>
      <c r="E129" s="47"/>
      <c r="F129" s="47" t="str">
        <f>IF(E129="Stakeholder input","High quality",IF(E129="Previous study","Medium quality",IF(E129="Literature","Medium quality",IF(E129="Googling","Fair quality",IF(E129="Scientific literature","High quality",IF(E129="Expert judgement","Medium quality",""))))))</f>
        <v/>
      </c>
      <c r="G129" s="78"/>
      <c r="H129" s="82"/>
      <c r="I129" s="82" t="s">
        <v>133</v>
      </c>
      <c r="J129" s="103"/>
      <c r="K129" s="104"/>
    </row>
    <row r="130" spans="2:11">
      <c r="B130" s="22" t="s">
        <v>385</v>
      </c>
      <c r="C130" s="124">
        <f>'Input use - economics'!K8</f>
        <v>0.9</v>
      </c>
      <c r="D130" s="252" t="str">
        <f>'Input use - economics'!L8</f>
        <v>%</v>
      </c>
      <c r="E130" s="33"/>
      <c r="F130" s="33" t="str">
        <f t="shared" ref="F130:F144" si="20">IF(E130="Stakeholder input","High quality",IF(E130="Previous study","Medium quality",IF(E130="Literature","Medium quality",IF(E130="Googling","Fair quality",IF(E130="Scientific literature","High quality",IF(E130="Expert judgement","Medium quality",""))))))</f>
        <v/>
      </c>
      <c r="G130" s="22"/>
      <c r="H130" s="22"/>
      <c r="I130" s="34" t="s">
        <v>133</v>
      </c>
      <c r="J130" s="108"/>
      <c r="K130" s="109"/>
    </row>
    <row r="131" spans="2:11" s="4" customFormat="1">
      <c r="B131" s="33" t="s">
        <v>387</v>
      </c>
      <c r="C131" s="126">
        <f>'Input use - economics'!K9</f>
        <v>0.1</v>
      </c>
      <c r="D131" s="253" t="str">
        <f>'Input use - economics'!L9</f>
        <v>%</v>
      </c>
      <c r="E131" s="33"/>
      <c r="F131" s="33" t="str">
        <f t="shared" si="20"/>
        <v/>
      </c>
      <c r="G131" s="33"/>
      <c r="H131" s="33"/>
      <c r="I131" s="34" t="s">
        <v>133</v>
      </c>
      <c r="J131" s="108"/>
      <c r="K131" s="109"/>
    </row>
    <row r="132" spans="2:11" s="4" customFormat="1">
      <c r="B132" s="521" t="s">
        <v>395</v>
      </c>
      <c r="C132" s="536">
        <f>'Input use - economics'!$K$15</f>
        <v>1655.2932422399995</v>
      </c>
      <c r="D132" s="253" t="s">
        <v>396</v>
      </c>
      <c r="E132" s="48"/>
      <c r="F132" s="48" t="str">
        <f t="shared" si="20"/>
        <v/>
      </c>
      <c r="G132" s="48"/>
      <c r="H132" s="81"/>
      <c r="I132" s="535" t="s">
        <v>542</v>
      </c>
      <c r="J132" s="129"/>
      <c r="K132" s="135"/>
    </row>
    <row r="133" spans="2:11" s="4" customFormat="1" ht="14.5" thickBot="1">
      <c r="B133" s="48" t="s">
        <v>543</v>
      </c>
      <c r="C133" s="127">
        <f>'Input use - economics'!K10</f>
        <v>820512</v>
      </c>
      <c r="D133" s="254" t="str">
        <f>'Input use - economics'!L10</f>
        <v>litres/year</v>
      </c>
      <c r="E133" s="48"/>
      <c r="F133" s="48" t="str">
        <f t="shared" si="20"/>
        <v/>
      </c>
      <c r="G133" s="48"/>
      <c r="H133" s="81"/>
      <c r="I133" s="81" t="s">
        <v>133</v>
      </c>
      <c r="J133" s="129"/>
      <c r="K133" s="109"/>
    </row>
    <row r="134" spans="2:11" s="4" customFormat="1" ht="14.5" thickBot="1">
      <c r="B134" s="86" t="s">
        <v>397</v>
      </c>
      <c r="C134" s="130"/>
      <c r="D134" s="255"/>
      <c r="E134" s="96"/>
      <c r="F134" s="96"/>
      <c r="G134" s="96"/>
      <c r="H134" s="97"/>
      <c r="I134" s="97"/>
      <c r="J134" s="131"/>
      <c r="K134" s="109"/>
    </row>
    <row r="135" spans="2:11">
      <c r="B135" s="78" t="s">
        <v>398</v>
      </c>
      <c r="C135" s="122">
        <f>'Input use - economics'!K17</f>
        <v>1800</v>
      </c>
      <c r="D135" s="251" t="str">
        <f>'Input use - economics'!L17</f>
        <v>dishes/hour</v>
      </c>
      <c r="E135" s="47"/>
      <c r="F135" s="47" t="str">
        <f t="shared" si="20"/>
        <v/>
      </c>
      <c r="G135" s="78"/>
      <c r="H135" s="78"/>
      <c r="I135" s="82" t="s">
        <v>133</v>
      </c>
      <c r="J135" s="103"/>
      <c r="K135" s="109"/>
    </row>
    <row r="136" spans="2:11">
      <c r="B136" s="22" t="s">
        <v>604</v>
      </c>
      <c r="C136" s="256">
        <f>'Input use - economics'!K18</f>
        <v>330</v>
      </c>
      <c r="D136" s="252" t="str">
        <f>'Input use - economics'!L18</f>
        <v>days/year</v>
      </c>
      <c r="E136" s="33"/>
      <c r="F136" s="33" t="str">
        <f t="shared" si="20"/>
        <v/>
      </c>
      <c r="G136" s="22"/>
      <c r="H136" s="22"/>
      <c r="I136" s="34" t="s">
        <v>133</v>
      </c>
      <c r="J136" s="108"/>
      <c r="K136" s="109"/>
    </row>
    <row r="137" spans="2:11">
      <c r="B137" s="22" t="s">
        <v>402</v>
      </c>
      <c r="C137" s="256" t="str">
        <f>'Input use - economics'!K19</f>
        <v>n.a.</v>
      </c>
      <c r="D137" s="252" t="str">
        <f>'Input use - economics'!L19</f>
        <v>unit</v>
      </c>
      <c r="E137" s="33"/>
      <c r="F137" s="33"/>
      <c r="G137" s="22"/>
      <c r="H137" s="22"/>
      <c r="I137" s="34" t="s">
        <v>133</v>
      </c>
      <c r="J137" s="108"/>
      <c r="K137" s="109"/>
    </row>
    <row r="138" spans="2:11" ht="14.5" thickBot="1">
      <c r="B138" s="80" t="s">
        <v>605</v>
      </c>
      <c r="C138" s="257">
        <f>'Input use - economics'!K21</f>
        <v>8</v>
      </c>
      <c r="D138" s="258" t="str">
        <f>'Input use - economics'!L21</f>
        <v>hours/day</v>
      </c>
      <c r="E138" s="48"/>
      <c r="F138" s="48"/>
      <c r="G138" s="80"/>
      <c r="H138" s="80"/>
      <c r="I138" s="81" t="s">
        <v>133</v>
      </c>
      <c r="J138" s="129"/>
      <c r="K138" s="109"/>
    </row>
    <row r="139" spans="2:11" ht="14.5" thickBot="1">
      <c r="B139" s="132" t="s">
        <v>406</v>
      </c>
      <c r="C139" s="259"/>
      <c r="D139" s="260"/>
      <c r="E139" s="96"/>
      <c r="F139" s="96"/>
      <c r="G139" s="98"/>
      <c r="H139" s="98"/>
      <c r="I139" s="97"/>
      <c r="J139" s="131"/>
      <c r="K139" s="109"/>
    </row>
    <row r="140" spans="2:11" s="4" customFormat="1" ht="14.5" thickBot="1">
      <c r="B140" s="133" t="s">
        <v>407</v>
      </c>
      <c r="C140" s="261">
        <f>'Input use - economics'!K23</f>
        <v>1931.2127999999998</v>
      </c>
      <c r="D140" s="262" t="str">
        <f>'Input use - economics'!L23</f>
        <v>kg/year</v>
      </c>
      <c r="E140" s="47"/>
      <c r="F140" s="47" t="str">
        <f>IF(E140="Stakeholder input","High quality",IF(E140="Previous study","Medium quality",IF(E140="Literature","Medium quality",IF(E140="Googling","Fair quality",IF(E140="Scientific literature","High quality",IF(E140="Expert judgement","Medium quality",""))))))</f>
        <v/>
      </c>
      <c r="G140" s="47"/>
      <c r="H140" s="78"/>
      <c r="I140" s="82" t="s">
        <v>133</v>
      </c>
      <c r="J140" s="103"/>
      <c r="K140" s="109"/>
    </row>
    <row r="141" spans="2:11" s="4" customFormat="1">
      <c r="B141" s="51" t="s">
        <v>544</v>
      </c>
      <c r="C141" s="122">
        <f>'Input use - economics'!K24</f>
        <v>188.17919999999995</v>
      </c>
      <c r="D141" s="262" t="str">
        <f>'Input use - economics'!D24</f>
        <v>kg/year</v>
      </c>
      <c r="E141" s="51"/>
      <c r="F141" s="51"/>
      <c r="G141" s="51"/>
      <c r="H141" s="63"/>
      <c r="I141" s="82" t="s">
        <v>133</v>
      </c>
      <c r="J141" s="445"/>
      <c r="K141" s="135"/>
    </row>
    <row r="142" spans="2:11" s="4" customFormat="1">
      <c r="B142" s="125" t="s">
        <v>410</v>
      </c>
      <c r="C142" s="122">
        <f>'Input use - economics'!K25</f>
        <v>0</v>
      </c>
      <c r="D142" s="251">
        <f>'Input use - economics'!L25</f>
        <v>0</v>
      </c>
      <c r="E142" s="48"/>
      <c r="F142" s="48"/>
      <c r="G142" s="48"/>
      <c r="H142" s="80"/>
      <c r="I142" s="34" t="s">
        <v>133</v>
      </c>
      <c r="J142" s="129"/>
      <c r="K142" s="135"/>
    </row>
    <row r="143" spans="2:11" s="4" customFormat="1">
      <c r="B143" s="125" t="s">
        <v>411</v>
      </c>
      <c r="C143" s="256">
        <f>'Input use - economics'!K26</f>
        <v>0</v>
      </c>
      <c r="D143" s="254" t="str">
        <f>'Input use - economics'!L26</f>
        <v>-</v>
      </c>
      <c r="E143" s="48"/>
      <c r="F143" s="48"/>
      <c r="G143" s="48"/>
      <c r="H143" s="80"/>
      <c r="I143" s="34" t="s">
        <v>133</v>
      </c>
      <c r="J143" s="129"/>
      <c r="K143" s="135"/>
    </row>
    <row r="144" spans="2:11" ht="14.5" thickBot="1">
      <c r="B144" s="88" t="s">
        <v>413</v>
      </c>
      <c r="C144" s="263">
        <f>'Input use - economics'!K27</f>
        <v>0</v>
      </c>
      <c r="D144" s="264" t="str">
        <f>'Input use - economics'!L27</f>
        <v>%</v>
      </c>
      <c r="E144" s="37"/>
      <c r="F144" s="37" t="str">
        <f t="shared" si="20"/>
        <v/>
      </c>
      <c r="G144" s="21"/>
      <c r="H144" s="21"/>
      <c r="I144" s="38" t="s">
        <v>133</v>
      </c>
      <c r="J144" s="105"/>
      <c r="K144" s="106"/>
    </row>
    <row r="146" spans="2:11" ht="15" thickBot="1">
      <c r="B146" s="111" t="s">
        <v>545</v>
      </c>
    </row>
    <row r="147" spans="2:11" s="114" customFormat="1" ht="14.5" thickBot="1">
      <c r="B147" s="18" t="s">
        <v>546</v>
      </c>
      <c r="C147" s="18" t="s">
        <v>305</v>
      </c>
      <c r="D147" s="18" t="s">
        <v>7</v>
      </c>
      <c r="E147" s="18" t="s">
        <v>458</v>
      </c>
      <c r="F147" s="18" t="s">
        <v>459</v>
      </c>
      <c r="G147" s="18" t="s">
        <v>460</v>
      </c>
      <c r="H147" s="18" t="s">
        <v>503</v>
      </c>
      <c r="I147" s="18" t="s">
        <v>461</v>
      </c>
      <c r="J147" s="17" t="s">
        <v>462</v>
      </c>
      <c r="K147" s="102" t="s">
        <v>463</v>
      </c>
    </row>
    <row r="148" spans="2:11" ht="14.5" thickBot="1">
      <c r="B148" s="132" t="s">
        <v>276</v>
      </c>
      <c r="C148" s="132"/>
      <c r="D148" s="132"/>
      <c r="E148" s="132"/>
      <c r="F148" s="137"/>
      <c r="G148" s="132"/>
      <c r="H148" s="132"/>
      <c r="I148" s="132"/>
      <c r="J148" s="131"/>
      <c r="K148" s="131"/>
    </row>
    <row r="149" spans="2:11" ht="14.5">
      <c r="B149" s="138" t="s">
        <v>611</v>
      </c>
      <c r="C149" s="139">
        <f>(C129*C130)/C150</f>
        <v>37.31681249999999</v>
      </c>
      <c r="D149" s="134" t="s">
        <v>368</v>
      </c>
      <c r="E149" s="41"/>
      <c r="F149" s="20" t="str">
        <f>IF(E149="Stakeholder input","High quality",IF(E149="Previous study","Medium quality",IF(E149="Literature","Medium quality",IF(E149="Googling","Fair quality",IF(E149="Scientific literature","High quality",IF(E149="Expert judgement","Medium quality",""))))))</f>
        <v/>
      </c>
      <c r="G149" s="20"/>
      <c r="H149" s="20"/>
      <c r="I149" s="20" t="s">
        <v>254</v>
      </c>
      <c r="J149" s="103"/>
      <c r="K149" s="104"/>
    </row>
    <row r="150" spans="2:11" ht="15" thickBot="1">
      <c r="B150" s="140" t="s">
        <v>612</v>
      </c>
      <c r="C150" s="21">
        <f>C138*C136</f>
        <v>2640</v>
      </c>
      <c r="D150" s="136" t="s">
        <v>549</v>
      </c>
      <c r="E150" s="37"/>
      <c r="F150" s="21" t="str">
        <f t="shared" ref="F150:F154" si="21">IF(E150="Stakeholder input","High quality",IF(E150="Previous study","Medium quality",IF(E150="Literature","Medium quality",IF(E150="Googling","Fair quality",IF(E150="Scientific literature","High quality",IF(E150="Expert judgement","Medium quality",""))))))</f>
        <v/>
      </c>
      <c r="G150" s="21"/>
      <c r="H150" s="21"/>
      <c r="I150" s="81" t="s">
        <v>254</v>
      </c>
      <c r="J150" s="129"/>
      <c r="K150" s="135"/>
    </row>
    <row r="151" spans="2:11" ht="14.5">
      <c r="B151" s="141" t="s">
        <v>550</v>
      </c>
      <c r="C151" s="142">
        <f>'T3 Input data'!$G$166</f>
        <v>1.4500000000000002</v>
      </c>
      <c r="D151" s="91" t="s">
        <v>368</v>
      </c>
      <c r="E151" s="41"/>
      <c r="F151" s="22" t="str">
        <f t="shared" si="21"/>
        <v/>
      </c>
      <c r="G151" s="22"/>
      <c r="H151" s="22"/>
      <c r="I151" s="20" t="s">
        <v>254</v>
      </c>
      <c r="J151" s="143"/>
      <c r="K151" s="144"/>
    </row>
    <row r="152" spans="2:11" ht="29" thickBot="1">
      <c r="B152" s="140" t="s">
        <v>551</v>
      </c>
      <c r="C152" s="21">
        <f>'T3 Input data'!F166*C136</f>
        <v>1485</v>
      </c>
      <c r="D152" s="88" t="s">
        <v>549</v>
      </c>
      <c r="E152" s="37"/>
      <c r="F152" s="22" t="str">
        <f t="shared" si="21"/>
        <v/>
      </c>
      <c r="G152" s="22" t="s">
        <v>552</v>
      </c>
      <c r="H152" s="22"/>
      <c r="I152" s="38" t="s">
        <v>254</v>
      </c>
      <c r="J152" s="105"/>
      <c r="K152" s="106"/>
    </row>
    <row r="153" spans="2:11" ht="14.5">
      <c r="B153" s="141" t="s">
        <v>553</v>
      </c>
      <c r="C153" s="145"/>
      <c r="D153" s="134" t="s">
        <v>368</v>
      </c>
      <c r="E153" s="41"/>
      <c r="F153" s="23" t="str">
        <f t="shared" si="21"/>
        <v/>
      </c>
      <c r="G153" s="23"/>
      <c r="H153" s="23"/>
      <c r="I153" s="82" t="s">
        <v>254</v>
      </c>
      <c r="J153" s="103"/>
      <c r="K153" s="104"/>
    </row>
    <row r="154" spans="2:11" ht="15" thickBot="1">
      <c r="B154" s="140" t="s">
        <v>554</v>
      </c>
      <c r="C154" s="113"/>
      <c r="D154" s="88" t="s">
        <v>549</v>
      </c>
      <c r="E154" s="37"/>
      <c r="F154" s="24" t="str">
        <f t="shared" si="21"/>
        <v/>
      </c>
      <c r="G154" s="24"/>
      <c r="H154" s="24"/>
      <c r="I154" s="38" t="s">
        <v>254</v>
      </c>
      <c r="J154" s="129"/>
      <c r="K154" s="135"/>
    </row>
    <row r="155" spans="2:11" ht="14.5" thickBot="1">
      <c r="B155" s="132" t="s">
        <v>370</v>
      </c>
      <c r="C155" s="132"/>
      <c r="D155" s="146"/>
      <c r="E155" s="132"/>
      <c r="F155" s="132"/>
      <c r="G155" s="132"/>
      <c r="H155" s="132"/>
      <c r="I155" s="132"/>
      <c r="J155" s="131"/>
      <c r="K155" s="131"/>
    </row>
    <row r="156" spans="2:11" s="147" customFormat="1" ht="56">
      <c r="B156" s="148" t="s">
        <v>613</v>
      </c>
      <c r="C156" s="149">
        <f>((C129*C131)+C132)/C157</f>
        <v>4.7733175159999996</v>
      </c>
      <c r="D156" s="87" t="s">
        <v>368</v>
      </c>
      <c r="E156" s="42"/>
      <c r="F156" s="20" t="str">
        <f>IF(E156="Stakeholder input","High quality",IF(E156="Previous study","Medium quality",IF(E156="Literature","Medium quality",IF(E156="Googling","Fair quality",IF(E156="Scientific literature","High quality",IF(E156="Expert judgement","Medium quality",""))))))</f>
        <v/>
      </c>
      <c r="G156" s="20" t="s">
        <v>556</v>
      </c>
      <c r="H156" s="20" t="s">
        <v>557</v>
      </c>
      <c r="I156" s="20" t="s">
        <v>254</v>
      </c>
      <c r="J156" s="103"/>
      <c r="K156" s="104"/>
    </row>
    <row r="157" spans="2:11">
      <c r="B157" s="150" t="s">
        <v>614</v>
      </c>
      <c r="C157" s="21">
        <f>C150</f>
        <v>2640</v>
      </c>
      <c r="D157" s="88" t="s">
        <v>549</v>
      </c>
      <c r="E157" s="37"/>
      <c r="F157" s="37" t="str">
        <f>IF(E157="Stakeholder input","High quality",IF(E157="Previous study","Medium quality",IF(E157="Literature","Medium quality",IF(E157="Googling","Fair quality",IF(E157="Scientific literature","High quality",IF(E157="Expert judgement","Medium quality",""))))))</f>
        <v/>
      </c>
      <c r="G157" s="21"/>
      <c r="H157" s="21"/>
      <c r="I157" s="38" t="s">
        <v>254</v>
      </c>
      <c r="J157" s="129"/>
      <c r="K157" s="135"/>
    </row>
    <row r="158" spans="2:11" ht="14.5">
      <c r="B158" s="151" t="s">
        <v>559</v>
      </c>
      <c r="C158" s="152">
        <f>((C129*C131)+C132)/C159</f>
        <v>4.7733175159999996</v>
      </c>
      <c r="D158" s="89" t="s">
        <v>560</v>
      </c>
      <c r="E158" s="43"/>
      <c r="F158" s="25" t="str">
        <f t="shared" ref="F158:F173" si="22">IF(E158="Stakeholder input","High quality",IF(E158="Previous study","Medium quality",IF(E158="Literature","Medium quality",IF(E158="Googling","Fair quality",IF(E158="Scientific literature","High quality",IF(E158="Expert judgement","Medium quality",""))))))</f>
        <v/>
      </c>
      <c r="G158" s="25" t="s">
        <v>556</v>
      </c>
      <c r="H158" s="25"/>
      <c r="I158" s="25" t="s">
        <v>254</v>
      </c>
      <c r="J158" s="143"/>
      <c r="K158" s="144"/>
    </row>
    <row r="159" spans="2:11" ht="14.5">
      <c r="B159" s="153" t="s">
        <v>561</v>
      </c>
      <c r="C159" s="154">
        <f>C138*C136</f>
        <v>2640</v>
      </c>
      <c r="D159" s="90" t="s">
        <v>562</v>
      </c>
      <c r="E159" s="44"/>
      <c r="F159" s="26" t="str">
        <f t="shared" si="22"/>
        <v/>
      </c>
      <c r="G159" s="26"/>
      <c r="H159" s="26"/>
      <c r="I159" s="26" t="s">
        <v>254</v>
      </c>
      <c r="J159" s="108"/>
      <c r="K159" s="109"/>
    </row>
    <row r="160" spans="2:11" ht="15" thickBot="1">
      <c r="B160" s="285" t="s">
        <v>563</v>
      </c>
      <c r="C160" s="155"/>
      <c r="D160" s="156"/>
      <c r="E160" s="45"/>
      <c r="F160" s="27" t="str">
        <f t="shared" si="22"/>
        <v/>
      </c>
      <c r="G160" s="27"/>
      <c r="H160" s="27"/>
      <c r="I160" s="27"/>
      <c r="J160" s="105"/>
      <c r="K160" s="106"/>
    </row>
    <row r="161" spans="1:12" ht="14.5" thickBot="1">
      <c r="B161" s="132" t="s">
        <v>564</v>
      </c>
      <c r="C161" s="132"/>
      <c r="D161" s="146"/>
      <c r="E161" s="132"/>
      <c r="F161" s="132" t="str">
        <f t="shared" si="22"/>
        <v/>
      </c>
      <c r="G161" s="132"/>
      <c r="H161" s="132"/>
      <c r="I161" s="132"/>
      <c r="J161" s="131"/>
      <c r="K161" s="131"/>
    </row>
    <row r="162" spans="1:12">
      <c r="B162" s="157" t="s">
        <v>615</v>
      </c>
      <c r="C162" s="158">
        <f>(C133/C163)*0.001</f>
        <v>0.31080000000000002</v>
      </c>
      <c r="D162" s="91" t="s">
        <v>566</v>
      </c>
      <c r="E162" s="41"/>
      <c r="F162" s="29" t="str">
        <f t="shared" si="22"/>
        <v/>
      </c>
      <c r="G162" s="29"/>
      <c r="H162" s="20"/>
      <c r="I162" s="20" t="s">
        <v>254</v>
      </c>
      <c r="J162" s="103"/>
      <c r="K162" s="104"/>
    </row>
    <row r="163" spans="1:12" ht="14.5" thickBot="1">
      <c r="B163" s="159" t="s">
        <v>616</v>
      </c>
      <c r="C163" s="21">
        <f>C150</f>
        <v>2640</v>
      </c>
      <c r="D163" s="88" t="s">
        <v>549</v>
      </c>
      <c r="E163" s="37"/>
      <c r="F163" s="21" t="str">
        <f t="shared" si="22"/>
        <v/>
      </c>
      <c r="G163" s="21"/>
      <c r="H163" s="21"/>
      <c r="I163" s="21" t="s">
        <v>254</v>
      </c>
      <c r="J163" s="129"/>
      <c r="K163" s="135"/>
    </row>
    <row r="164" spans="1:12" ht="14.5" thickBot="1">
      <c r="B164" s="159" t="s">
        <v>567</v>
      </c>
      <c r="C164" s="448">
        <f>C133*0.001</f>
        <v>820.51200000000006</v>
      </c>
      <c r="D164" s="88" t="s">
        <v>566</v>
      </c>
      <c r="E164" s="37"/>
      <c r="F164" s="21"/>
      <c r="G164" s="21"/>
      <c r="H164" s="21"/>
      <c r="I164" s="21" t="s">
        <v>542</v>
      </c>
      <c r="J164" s="129"/>
      <c r="K164" s="135"/>
    </row>
    <row r="165" spans="1:12" ht="14.5" thickBot="1">
      <c r="B165" s="132" t="s">
        <v>406</v>
      </c>
      <c r="C165" s="132"/>
      <c r="D165" s="146"/>
      <c r="E165" s="132"/>
      <c r="F165" s="132" t="str">
        <f t="shared" si="22"/>
        <v/>
      </c>
      <c r="G165" s="132"/>
      <c r="H165" s="132"/>
      <c r="I165" s="132"/>
      <c r="J165" s="131"/>
      <c r="K165" s="131"/>
    </row>
    <row r="166" spans="1:12" ht="15" thickBot="1">
      <c r="B166" s="160" t="s">
        <v>617</v>
      </c>
      <c r="C166" s="161">
        <f>C140/C150</f>
        <v>0.73151999999999995</v>
      </c>
      <c r="D166" s="162" t="s">
        <v>309</v>
      </c>
      <c r="E166" s="46"/>
      <c r="F166" s="28" t="str">
        <f t="shared" si="22"/>
        <v/>
      </c>
      <c r="G166" s="28"/>
      <c r="H166" s="28"/>
      <c r="I166" s="28" t="s">
        <v>254</v>
      </c>
      <c r="J166" s="163"/>
      <c r="K166" s="164"/>
    </row>
    <row r="167" spans="1:12" ht="15" thickBot="1">
      <c r="B167" s="551" t="s">
        <v>618</v>
      </c>
      <c r="C167" s="161">
        <f>C141/C150</f>
        <v>7.1279999999999982E-2</v>
      </c>
      <c r="D167" s="162" t="s">
        <v>309</v>
      </c>
      <c r="E167" s="51"/>
      <c r="F167" s="63"/>
      <c r="G167" s="63"/>
      <c r="H167" s="63"/>
      <c r="I167" s="63"/>
      <c r="J167" s="445"/>
      <c r="K167" s="446"/>
    </row>
    <row r="168" spans="1:12">
      <c r="B168" s="157" t="s">
        <v>569</v>
      </c>
      <c r="C168" s="78">
        <f>C142</f>
        <v>0</v>
      </c>
      <c r="D168" s="123"/>
      <c r="E168" s="47"/>
      <c r="F168" s="78" t="str">
        <f t="shared" si="22"/>
        <v/>
      </c>
      <c r="G168" s="78"/>
      <c r="H168" s="78"/>
      <c r="I168" s="78" t="s">
        <v>570</v>
      </c>
      <c r="J168" s="103"/>
      <c r="K168" s="104"/>
    </row>
    <row r="169" spans="1:12">
      <c r="B169" s="165" t="s">
        <v>411</v>
      </c>
      <c r="C169" s="22">
        <f>C143</f>
        <v>0</v>
      </c>
      <c r="D169" s="128" t="s">
        <v>412</v>
      </c>
      <c r="E169" s="33"/>
      <c r="F169" s="22" t="str">
        <f t="shared" si="22"/>
        <v/>
      </c>
      <c r="G169" s="22"/>
      <c r="H169" s="22"/>
      <c r="I169" s="78" t="s">
        <v>570</v>
      </c>
      <c r="J169" s="108"/>
      <c r="K169" s="109"/>
    </row>
    <row r="170" spans="1:12" ht="14.5" thickBot="1">
      <c r="B170" s="166" t="s">
        <v>413</v>
      </c>
      <c r="C170" s="80">
        <f>C144</f>
        <v>0</v>
      </c>
      <c r="D170" s="128" t="s">
        <v>386</v>
      </c>
      <c r="E170" s="48"/>
      <c r="F170" s="80" t="str">
        <f t="shared" si="22"/>
        <v/>
      </c>
      <c r="G170" s="80"/>
      <c r="H170" s="80"/>
      <c r="I170" s="78" t="s">
        <v>570</v>
      </c>
      <c r="J170" s="129"/>
      <c r="K170" s="135"/>
    </row>
    <row r="171" spans="1:12" ht="14.5" thickBot="1">
      <c r="B171" s="132" t="s">
        <v>571</v>
      </c>
      <c r="C171" s="132"/>
      <c r="D171" s="146"/>
      <c r="E171" s="132"/>
      <c r="F171" s="132" t="str">
        <f t="shared" si="22"/>
        <v/>
      </c>
      <c r="G171" s="132"/>
      <c r="H171" s="132"/>
      <c r="I171" s="132"/>
      <c r="J171" s="131"/>
      <c r="K171" s="131"/>
    </row>
    <row r="172" spans="1:12">
      <c r="B172" s="78"/>
      <c r="C172" s="78"/>
      <c r="D172" s="123"/>
      <c r="E172" s="47"/>
      <c r="F172" s="78" t="str">
        <f t="shared" si="22"/>
        <v/>
      </c>
      <c r="G172" s="78"/>
      <c r="H172" s="78"/>
      <c r="I172" s="78"/>
      <c r="J172" s="103"/>
      <c r="K172" s="104"/>
    </row>
    <row r="173" spans="1:12" ht="14.5" thickBot="1">
      <c r="B173" s="21"/>
      <c r="C173" s="21"/>
      <c r="D173" s="88"/>
      <c r="E173" s="37"/>
      <c r="F173" s="21" t="str">
        <f t="shared" si="22"/>
        <v/>
      </c>
      <c r="G173" s="21"/>
      <c r="H173" s="21"/>
      <c r="I173" s="21"/>
      <c r="J173" s="105"/>
      <c r="K173" s="106"/>
    </row>
    <row r="175" spans="1:12" s="99" customFormat="1" ht="21">
      <c r="A175" s="110"/>
      <c r="B175" s="52" t="s">
        <v>572</v>
      </c>
      <c r="C175" s="110"/>
      <c r="D175" s="52"/>
      <c r="E175" s="52"/>
      <c r="F175" s="110"/>
      <c r="G175" s="110"/>
      <c r="H175" s="110"/>
      <c r="I175" s="110"/>
      <c r="J175" s="110"/>
      <c r="K175" s="110"/>
      <c r="L175" s="110"/>
    </row>
    <row r="176" spans="1:12" ht="14.5" thickBot="1">
      <c r="B176"/>
    </row>
    <row r="177" spans="1:12" ht="14.5" thickBot="1">
      <c r="B177" s="83" t="s">
        <v>573</v>
      </c>
      <c r="C177" s="84" t="s">
        <v>305</v>
      </c>
      <c r="D177" s="83" t="s">
        <v>7</v>
      </c>
      <c r="E177" s="84" t="s">
        <v>458</v>
      </c>
      <c r="F177" s="83" t="s">
        <v>459</v>
      </c>
      <c r="G177" s="83" t="s">
        <v>460</v>
      </c>
      <c r="H177" s="83" t="s">
        <v>503</v>
      </c>
      <c r="I177" s="84" t="s">
        <v>461</v>
      </c>
      <c r="J177" s="85" t="s">
        <v>462</v>
      </c>
      <c r="K177" s="167" t="s">
        <v>463</v>
      </c>
    </row>
    <row r="178" spans="1:12" ht="14.5" thickBot="1">
      <c r="B178" s="132" t="s">
        <v>415</v>
      </c>
      <c r="C178" s="132"/>
      <c r="D178" s="132"/>
      <c r="E178" s="132"/>
      <c r="F178" s="132"/>
      <c r="G178" s="132"/>
      <c r="H178" s="132"/>
      <c r="I178" s="146"/>
      <c r="J178" s="131"/>
      <c r="K178" s="131"/>
    </row>
    <row r="179" spans="1:12">
      <c r="A179" s="4"/>
      <c r="B179" s="47" t="s">
        <v>416</v>
      </c>
      <c r="C179" s="273">
        <f>'Input use - economics'!K36</f>
        <v>11</v>
      </c>
      <c r="D179" s="47" t="str">
        <f>'Input use - economics'!L36</f>
        <v>years</v>
      </c>
      <c r="E179" s="47"/>
      <c r="F179" s="47" t="str">
        <f>IF(E179="Stakeholder input","High quality",IF(E179="Previous study","Medium quality",IF(E179="Literature","Medium quality",IF(E179="Googling","Fair quality",IF(E179="Scientific literature","High quality",IF(E179="Expert judgement","Medium quality",""))))))</f>
        <v/>
      </c>
      <c r="G179" s="47"/>
      <c r="H179" s="47"/>
      <c r="I179" s="47" t="s">
        <v>542</v>
      </c>
      <c r="J179" s="103"/>
      <c r="K179" s="104"/>
      <c r="L179" s="4"/>
    </row>
    <row r="180" spans="1:12" ht="14.5" thickBot="1">
      <c r="A180" s="4"/>
      <c r="B180" s="48" t="s">
        <v>418</v>
      </c>
      <c r="C180" s="274">
        <f>'Input use - economics'!K37</f>
        <v>2.2000000000000002</v>
      </c>
      <c r="D180" s="48" t="str">
        <f>'Input use - economics'!L37</f>
        <v>-</v>
      </c>
      <c r="E180" s="48"/>
      <c r="F180" s="48" t="str">
        <f t="shared" ref="F180:F195" si="23">IF(E180="Stakeholder input","High quality",IF(E180="Previous study","Medium quality",IF(E180="Literature","Medium quality",IF(E180="Googling","Fair quality",IF(E180="Scientific literature","High quality",IF(E180="Expert judgement","Medium quality",""))))))</f>
        <v/>
      </c>
      <c r="G180" s="48"/>
      <c r="H180" s="48"/>
      <c r="I180" s="33" t="s">
        <v>542</v>
      </c>
      <c r="J180" s="129"/>
      <c r="K180" s="135"/>
      <c r="L180" s="4"/>
    </row>
    <row r="181" spans="1:12" ht="14.5" thickBot="1">
      <c r="A181" s="4"/>
      <c r="B181" s="86" t="s">
        <v>419</v>
      </c>
      <c r="C181" s="275"/>
      <c r="D181" s="86"/>
      <c r="E181" s="86"/>
      <c r="F181" s="86" t="str">
        <f t="shared" si="23"/>
        <v/>
      </c>
      <c r="G181" s="86"/>
      <c r="H181" s="86"/>
      <c r="I181" s="86"/>
      <c r="J181" s="131"/>
      <c r="K181" s="131"/>
      <c r="L181" s="4"/>
    </row>
    <row r="182" spans="1:12" ht="28">
      <c r="A182" s="4"/>
      <c r="B182" s="41" t="s">
        <v>574</v>
      </c>
      <c r="C182" s="276">
        <f>'Input use - economics'!K39</f>
        <v>7.7279999999999996E-3</v>
      </c>
      <c r="D182" s="41" t="str">
        <f>'Input use - economics'!L39</f>
        <v>mln. units/year</v>
      </c>
      <c r="E182" s="41" t="s">
        <v>607</v>
      </c>
      <c r="F182" s="41" t="str">
        <f t="shared" si="23"/>
        <v>Medium quality</v>
      </c>
      <c r="G182" s="41"/>
      <c r="H182" s="41" t="s">
        <v>575</v>
      </c>
      <c r="I182" s="41" t="s">
        <v>576</v>
      </c>
      <c r="J182" s="143"/>
      <c r="K182" s="104"/>
      <c r="L182" s="4"/>
    </row>
    <row r="183" spans="1:12" ht="70">
      <c r="A183" s="4"/>
      <c r="B183" s="33" t="s">
        <v>422</v>
      </c>
      <c r="C183" s="452">
        <f>'Input use - economics'!K40</f>
        <v>13394.494999999999</v>
      </c>
      <c r="D183" s="33" t="str">
        <f>'Input use - economics'!L40</f>
        <v>Euro/unit</v>
      </c>
      <c r="E183" s="33" t="s">
        <v>577</v>
      </c>
      <c r="F183" s="33" t="str">
        <f t="shared" si="23"/>
        <v>Medium quality</v>
      </c>
      <c r="G183" s="33" t="s">
        <v>578</v>
      </c>
      <c r="H183" s="33" t="s">
        <v>608</v>
      </c>
      <c r="I183" s="33" t="s">
        <v>576</v>
      </c>
      <c r="J183" s="108"/>
      <c r="K183" s="109"/>
      <c r="L183" s="4"/>
    </row>
    <row r="184" spans="1:12" ht="70">
      <c r="A184" s="4"/>
      <c r="B184" s="33" t="s">
        <v>424</v>
      </c>
      <c r="C184" s="453">
        <f>'Input use - economics'!K41</f>
        <v>15</v>
      </c>
      <c r="D184" s="33" t="str">
        <f>'Input use - economics'!L41</f>
        <v>-</v>
      </c>
      <c r="E184" s="33"/>
      <c r="F184" s="33" t="str">
        <f t="shared" si="23"/>
        <v/>
      </c>
      <c r="G184" s="360" t="s">
        <v>579</v>
      </c>
      <c r="H184" s="481" t="s">
        <v>580</v>
      </c>
      <c r="I184" s="33" t="s">
        <v>576</v>
      </c>
      <c r="J184" s="108"/>
      <c r="K184" s="109"/>
      <c r="L184" s="4"/>
    </row>
    <row r="185" spans="1:12" ht="70">
      <c r="A185" s="4"/>
      <c r="B185" s="33" t="s">
        <v>425</v>
      </c>
      <c r="C185" s="277">
        <f>'Input use - economics'!K42</f>
        <v>0</v>
      </c>
      <c r="D185" s="33" t="str">
        <f>'Input use - economics'!L42</f>
        <v>Euro/ unit</v>
      </c>
      <c r="E185" s="33"/>
      <c r="F185" s="33" t="str">
        <f t="shared" si="23"/>
        <v/>
      </c>
      <c r="G185" s="33" t="s">
        <v>581</v>
      </c>
      <c r="H185" s="33"/>
      <c r="I185" s="33" t="s">
        <v>576</v>
      </c>
      <c r="J185" s="108"/>
      <c r="K185" s="109"/>
      <c r="L185" s="4"/>
    </row>
    <row r="186" spans="1:12" ht="56">
      <c r="A186" s="4"/>
      <c r="B186" s="33" t="s">
        <v>427</v>
      </c>
      <c r="C186" s="480">
        <f>'Input use - economics'!K43</f>
        <v>2.3477100000000001E-2</v>
      </c>
      <c r="D186" s="33" t="str">
        <f>'Input use - economics'!L43</f>
        <v>Euro/MJ</v>
      </c>
      <c r="E186" s="33"/>
      <c r="F186" s="33" t="str">
        <f t="shared" si="23"/>
        <v/>
      </c>
      <c r="G186" s="360" t="s">
        <v>582</v>
      </c>
      <c r="H186" s="360" t="s">
        <v>583</v>
      </c>
      <c r="I186" s="33" t="s">
        <v>576</v>
      </c>
      <c r="J186" s="108"/>
      <c r="K186" s="109"/>
      <c r="L186" s="4"/>
    </row>
    <row r="187" spans="1:12" ht="42">
      <c r="A187" s="4"/>
      <c r="B187" s="33" t="s">
        <v>429</v>
      </c>
      <c r="C187" s="277">
        <f>'Input use - economics'!K44</f>
        <v>0.2571</v>
      </c>
      <c r="D187" s="33" t="str">
        <f>'Input use - economics'!L44</f>
        <v>Euro/kWh</v>
      </c>
      <c r="E187" s="33" t="s">
        <v>577</v>
      </c>
      <c r="F187" s="33" t="str">
        <f t="shared" si="23"/>
        <v>Medium quality</v>
      </c>
      <c r="G187" s="33" t="s">
        <v>584</v>
      </c>
      <c r="H187" s="33" t="s">
        <v>585</v>
      </c>
      <c r="I187" s="33" t="s">
        <v>576</v>
      </c>
      <c r="J187" s="108"/>
      <c r="K187" s="109"/>
      <c r="L187" s="4"/>
    </row>
    <row r="188" spans="1:12" ht="28">
      <c r="A188" s="4"/>
      <c r="B188" s="33" t="s">
        <v>431</v>
      </c>
      <c r="C188" s="277">
        <f>'Input use - economics'!K45</f>
        <v>1.91</v>
      </c>
      <c r="D188" s="33" t="str">
        <f>'Input use - economics'!L45</f>
        <v>Euro/m3</v>
      </c>
      <c r="E188" s="33" t="s">
        <v>577</v>
      </c>
      <c r="F188" s="33" t="str">
        <f t="shared" si="23"/>
        <v>Medium quality</v>
      </c>
      <c r="G188" s="33" t="s">
        <v>586</v>
      </c>
      <c r="H188" s="33" t="s">
        <v>587</v>
      </c>
      <c r="I188" s="33" t="s">
        <v>576</v>
      </c>
      <c r="J188" s="108"/>
      <c r="K188" s="109"/>
      <c r="L188" s="4"/>
    </row>
    <row r="189" spans="1:12" ht="28">
      <c r="A189" s="4"/>
      <c r="B189" s="33" t="s">
        <v>433</v>
      </c>
      <c r="C189" s="450">
        <f>'Input use - economics'!K46</f>
        <v>5893.5778</v>
      </c>
      <c r="D189" s="33" t="str">
        <f>'Input use - economics'!L46</f>
        <v>Euro/ unit</v>
      </c>
      <c r="E189" s="33" t="s">
        <v>577</v>
      </c>
      <c r="F189" s="33" t="str">
        <f t="shared" si="23"/>
        <v>Medium quality</v>
      </c>
      <c r="G189" s="33" t="s">
        <v>588</v>
      </c>
      <c r="H189" s="33" t="s">
        <v>609</v>
      </c>
      <c r="I189" s="33" t="s">
        <v>576</v>
      </c>
      <c r="J189" s="108"/>
      <c r="K189" s="109"/>
      <c r="L189" s="4"/>
    </row>
    <row r="190" spans="1:12">
      <c r="A190" s="4"/>
      <c r="B190" s="33" t="s">
        <v>434</v>
      </c>
      <c r="C190" s="456">
        <f>'Input use - economics'!K47</f>
        <v>0.03</v>
      </c>
      <c r="D190" s="33" t="str">
        <f>'Input use - economics'!L47</f>
        <v>%</v>
      </c>
      <c r="E190" s="33" t="s">
        <v>577</v>
      </c>
      <c r="F190" s="33" t="str">
        <f t="shared" si="23"/>
        <v>Medium quality</v>
      </c>
      <c r="G190" s="457" t="s">
        <v>589</v>
      </c>
      <c r="H190" s="458" t="s">
        <v>590</v>
      </c>
      <c r="I190" s="33" t="s">
        <v>576</v>
      </c>
      <c r="J190" s="108"/>
      <c r="K190" s="109"/>
      <c r="L190" s="4"/>
    </row>
    <row r="191" spans="1:12">
      <c r="A191" s="4"/>
      <c r="B191" s="33" t="s">
        <v>435</v>
      </c>
      <c r="C191" s="455">
        <f>'Input use - economics'!K48</f>
        <v>1.4787910661816388E-2</v>
      </c>
      <c r="D191" s="33" t="str">
        <f>'Input use - economics'!L48</f>
        <v>%</v>
      </c>
      <c r="E191" s="33"/>
      <c r="F191" s="33" t="str">
        <f t="shared" si="23"/>
        <v/>
      </c>
      <c r="G191" s="33"/>
      <c r="H191" s="33"/>
      <c r="I191" s="33" t="s">
        <v>576</v>
      </c>
      <c r="J191" s="108"/>
      <c r="K191" s="109"/>
      <c r="L191" s="4"/>
    </row>
    <row r="192" spans="1:12" ht="28">
      <c r="A192" s="4"/>
      <c r="B192" s="33" t="s">
        <v>436</v>
      </c>
      <c r="C192" s="277">
        <f>'Input use - economics'!K49</f>
        <v>0.7</v>
      </c>
      <c r="D192" s="33" t="str">
        <f>'Input use - economics'!L49</f>
        <v>-</v>
      </c>
      <c r="E192" s="33" t="s">
        <v>528</v>
      </c>
      <c r="F192" s="33" t="str">
        <f t="shared" si="23"/>
        <v>High quality</v>
      </c>
      <c r="G192" s="33"/>
      <c r="H192" s="33" t="s">
        <v>591</v>
      </c>
      <c r="I192" s="33" t="s">
        <v>576</v>
      </c>
      <c r="J192" s="108"/>
      <c r="K192" s="109"/>
      <c r="L192" s="4"/>
    </row>
    <row r="193" spans="1:12">
      <c r="A193" s="4"/>
      <c r="B193" s="33" t="s">
        <v>437</v>
      </c>
      <c r="C193" s="450">
        <f>'Input use - economics'!K50</f>
        <v>4.21875</v>
      </c>
      <c r="D193" s="33" t="str">
        <f>'Input use - economics'!L50</f>
        <v>Euro/kg detergent</v>
      </c>
      <c r="E193" s="33" t="s">
        <v>577</v>
      </c>
      <c r="F193" s="33" t="str">
        <f t="shared" si="23"/>
        <v>Medium quality</v>
      </c>
      <c r="G193" s="685" t="s">
        <v>578</v>
      </c>
      <c r="H193" s="685" t="s">
        <v>592</v>
      </c>
      <c r="I193" s="33" t="s">
        <v>576</v>
      </c>
      <c r="J193" s="108"/>
      <c r="K193" s="109"/>
      <c r="L193" s="4"/>
    </row>
    <row r="194" spans="1:12" ht="28">
      <c r="A194" s="4"/>
      <c r="B194" s="33" t="s">
        <v>439</v>
      </c>
      <c r="C194" s="450">
        <f>'Input use - economics'!K51</f>
        <v>3.9266666666666667</v>
      </c>
      <c r="D194" s="33" t="str">
        <f>'Input use - economics'!L51</f>
        <v>Euro/kg rinsing agent</v>
      </c>
      <c r="E194" s="33" t="s">
        <v>577</v>
      </c>
      <c r="F194" s="33" t="str">
        <f t="shared" si="23"/>
        <v>Medium quality</v>
      </c>
      <c r="G194" s="686"/>
      <c r="H194" s="686"/>
      <c r="I194" s="33" t="s">
        <v>576</v>
      </c>
      <c r="J194" s="108"/>
      <c r="K194" s="109"/>
      <c r="L194" s="4"/>
    </row>
    <row r="195" spans="1:12" ht="14.5" thickBot="1">
      <c r="A195" s="4"/>
      <c r="B195" s="37" t="s">
        <v>441</v>
      </c>
      <c r="C195" s="278">
        <f>'Input use - economics'!K52</f>
        <v>0</v>
      </c>
      <c r="D195" s="37">
        <f>'Input use - economics'!L52</f>
        <v>0</v>
      </c>
      <c r="E195" s="37"/>
      <c r="F195" s="37" t="str">
        <f t="shared" si="23"/>
        <v/>
      </c>
      <c r="G195" s="37"/>
      <c r="H195" s="37"/>
      <c r="I195" s="33" t="s">
        <v>576</v>
      </c>
      <c r="J195" s="105"/>
      <c r="K195" s="106"/>
      <c r="L195" s="4"/>
    </row>
    <row r="197" spans="1:12" ht="14.5" thickBot="1"/>
    <row r="198" spans="1:12" ht="28.5" thickBot="1">
      <c r="B198" s="86" t="s">
        <v>593</v>
      </c>
      <c r="C198" s="86" t="s">
        <v>594</v>
      </c>
      <c r="D198" s="86" t="s">
        <v>595</v>
      </c>
      <c r="E198" s="86" t="s">
        <v>596</v>
      </c>
      <c r="F198" s="86" t="s">
        <v>597</v>
      </c>
      <c r="G198" s="86" t="s">
        <v>508</v>
      </c>
    </row>
    <row r="199" spans="1:12" ht="42">
      <c r="B199" s="464" t="s">
        <v>598</v>
      </c>
      <c r="C199" s="465">
        <v>2.1534784789184247E-2</v>
      </c>
      <c r="D199" s="466">
        <f>C156*C157/1.05</f>
        <v>12001.48404022857</v>
      </c>
      <c r="E199" s="466">
        <f>D199*C186*3.6</f>
        <v>1014.3361474590606</v>
      </c>
      <c r="F199" s="467">
        <f>E199/$E$203</f>
        <v>2.8131165635074531E-2</v>
      </c>
      <c r="G199" s="468" t="s">
        <v>599</v>
      </c>
    </row>
    <row r="200" spans="1:12">
      <c r="B200" s="469" t="s">
        <v>367</v>
      </c>
      <c r="C200" s="460">
        <v>1.6197846857569271E-2</v>
      </c>
      <c r="D200" s="462">
        <f>C149*C150</f>
        <v>98516.38499999998</v>
      </c>
      <c r="E200" s="462">
        <f>D200*C187</f>
        <v>25328.562583499996</v>
      </c>
      <c r="F200" s="463">
        <f t="shared" ref="F200:F202" si="24">E200/$E$203</f>
        <v>0.70245154046779901</v>
      </c>
      <c r="G200" s="470"/>
    </row>
    <row r="201" spans="1:12">
      <c r="B201" s="469" t="s">
        <v>107</v>
      </c>
      <c r="C201" s="460">
        <v>1.6220772190373989E-3</v>
      </c>
      <c r="D201" s="462">
        <f>C133</f>
        <v>820512</v>
      </c>
      <c r="E201" s="462">
        <f>C164*C188</f>
        <v>1567.1779200000001</v>
      </c>
      <c r="F201" s="463">
        <f t="shared" si="24"/>
        <v>4.3463443314713336E-2</v>
      </c>
      <c r="G201" s="470"/>
    </row>
    <row r="202" spans="1:12">
      <c r="B202" s="469" t="s">
        <v>41</v>
      </c>
      <c r="C202" s="460">
        <v>1.2097198247907004E-2</v>
      </c>
      <c r="D202" s="462">
        <f>C140</f>
        <v>1931.2127999999998</v>
      </c>
      <c r="E202" s="462">
        <f>D202*C193</f>
        <v>8147.3039999999992</v>
      </c>
      <c r="F202" s="463">
        <f t="shared" si="24"/>
        <v>0.22595385058241324</v>
      </c>
      <c r="G202" s="470"/>
    </row>
    <row r="203" spans="1:12" ht="14.5" thickBot="1">
      <c r="B203" s="471"/>
      <c r="C203" s="472"/>
      <c r="D203" s="473"/>
      <c r="E203" s="473">
        <f>SUM(E199:E202)</f>
        <v>36057.38065095905</v>
      </c>
      <c r="F203" s="474">
        <f>SUM(F199:F202)</f>
        <v>1</v>
      </c>
      <c r="G203" s="475"/>
    </row>
    <row r="204" spans="1:12" ht="14.5" thickBot="1">
      <c r="B204" s="476" t="s">
        <v>600</v>
      </c>
      <c r="C204" s="477">
        <f>(F199*C199)+(F200*C200)+(F201*C201)+(F202*C202)</f>
        <v>1.4787910661816388E-2</v>
      </c>
      <c r="D204" s="461"/>
      <c r="E204" s="461"/>
      <c r="F204" s="461"/>
      <c r="G204" s="14"/>
    </row>
  </sheetData>
  <mergeCells count="28">
    <mergeCell ref="B118:B120"/>
    <mergeCell ref="F118:G118"/>
    <mergeCell ref="F119:G119"/>
    <mergeCell ref="F120:G120"/>
    <mergeCell ref="H85:H90"/>
    <mergeCell ref="E91:E94"/>
    <mergeCell ref="F91:F94"/>
    <mergeCell ref="G91:G94"/>
    <mergeCell ref="H91:H94"/>
    <mergeCell ref="B6:I6"/>
    <mergeCell ref="C7:I7"/>
    <mergeCell ref="C8:I8"/>
    <mergeCell ref="C9:I9"/>
    <mergeCell ref="C10:I10"/>
    <mergeCell ref="G193:G194"/>
    <mergeCell ref="H193:H194"/>
    <mergeCell ref="E74:E76"/>
    <mergeCell ref="F74:F76"/>
    <mergeCell ref="G74:G76"/>
    <mergeCell ref="H74:H76"/>
    <mergeCell ref="E77:E83"/>
    <mergeCell ref="F77:F83"/>
    <mergeCell ref="G78:G83"/>
    <mergeCell ref="H77:H83"/>
    <mergeCell ref="E85:E90"/>
    <mergeCell ref="F85:F90"/>
    <mergeCell ref="G85:G90"/>
    <mergeCell ref="F121:G121"/>
  </mergeCells>
  <phoneticPr fontId="15" type="noConversion"/>
  <conditionalFormatting sqref="H17:H41">
    <cfRule type="expression" dxfId="3" priority="2">
      <formula>G17="No"</formula>
    </cfRule>
  </conditionalFormatting>
  <conditionalFormatting sqref="H46:H55">
    <cfRule type="expression" dxfId="2" priority="1">
      <formula>G46="No"</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214CEB2-C6E6-485C-8130-1DC3694E5A9D}">
          <x14:formula1>
            <xm:f>Lists!$F$2:$F$7</xm:f>
          </x14:formula1>
          <xm:sqref>E149:E154 I46:I55 E172:E173 E166:E170 E156:E160 E162:E164 E179:E180 E182:E195 E102:E103 E107:E108 E112:E113 E68:E71 E64:E65 I17:I41 E129:E143</xm:sqref>
        </x14:dataValidation>
        <x14:dataValidation type="list" allowBlank="1" showInputMessage="1" showErrorMessage="1" xr:uid="{4B7BA331-AD42-473D-8570-9030ED08997E}">
          <x14:formula1>
            <xm:f>Lists!$B$2:$B$3</xm:f>
          </x14:formula1>
          <xm:sqref>G46:G55 G17:G41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37A1B-2C04-4658-BC88-A19BEA2BBFA9}">
  <sheetPr>
    <tabColor theme="5"/>
  </sheetPr>
  <dimension ref="A1:P68"/>
  <sheetViews>
    <sheetView topLeftCell="A41" zoomScale="90" zoomScaleNormal="90" workbookViewId="0">
      <selection activeCell="A41" sqref="A1:XFD1048576"/>
    </sheetView>
  </sheetViews>
  <sheetFormatPr baseColWidth="10" defaultColWidth="8.75" defaultRowHeight="14"/>
  <cols>
    <col min="1" max="1" width="5" style="3" customWidth="1"/>
    <col min="2" max="2" width="38.33203125" style="3" customWidth="1"/>
    <col min="3" max="3" width="12.25" style="3" customWidth="1"/>
    <col min="4" max="4" width="9.75" style="3" customWidth="1"/>
    <col min="5" max="5" width="23.08203125" style="3" customWidth="1"/>
    <col min="6" max="12" width="20.6640625" style="579" customWidth="1"/>
    <col min="13" max="13" width="24.25" style="3" customWidth="1"/>
    <col min="14" max="14" width="18.75" style="3" customWidth="1"/>
    <col min="15" max="15" width="26.83203125" style="3" customWidth="1"/>
    <col min="16" max="16" width="102.83203125" style="3" customWidth="1"/>
    <col min="17" max="17" width="101.4140625" style="3" customWidth="1"/>
    <col min="18" max="16384" width="8.75" style="3"/>
  </cols>
  <sheetData>
    <row r="1" spans="2:12" ht="23.5">
      <c r="B1" s="6" t="s">
        <v>681</v>
      </c>
      <c r="C1"/>
    </row>
    <row r="2" spans="2:12" ht="18.5">
      <c r="B2" s="618" t="s">
        <v>674</v>
      </c>
      <c r="C2"/>
    </row>
    <row r="3" spans="2:12" ht="18.5">
      <c r="B3" s="618"/>
      <c r="C3"/>
    </row>
    <row r="4" spans="2:12" ht="21">
      <c r="B4" s="619" t="s">
        <v>675</v>
      </c>
      <c r="C4" s="54"/>
      <c r="D4" s="54"/>
      <c r="E4" s="53"/>
      <c r="F4" s="619"/>
    </row>
    <row r="5" spans="2:12" s="567" customFormat="1" ht="16">
      <c r="B5" s="684" t="s">
        <v>680</v>
      </c>
      <c r="C5" s="684"/>
      <c r="D5" s="684"/>
      <c r="E5" s="684"/>
      <c r="F5" s="620"/>
      <c r="G5" s="620"/>
      <c r="H5" s="620"/>
      <c r="I5" s="620"/>
      <c r="J5" s="620"/>
      <c r="K5" s="620"/>
      <c r="L5" s="620"/>
    </row>
    <row r="6" spans="2:12" ht="24" thickBot="1">
      <c r="B6" s="6"/>
      <c r="C6"/>
      <c r="F6" s="621" t="s">
        <v>646</v>
      </c>
      <c r="G6" s="621" t="s">
        <v>653</v>
      </c>
      <c r="H6" s="621" t="s">
        <v>654</v>
      </c>
      <c r="I6" s="621" t="s">
        <v>655</v>
      </c>
      <c r="J6" s="621" t="s">
        <v>656</v>
      </c>
      <c r="K6" s="621" t="s">
        <v>657</v>
      </c>
      <c r="L6" s="621" t="s">
        <v>683</v>
      </c>
    </row>
    <row r="7" spans="2:12" ht="59" thickBot="1">
      <c r="B7" s="6"/>
      <c r="C7"/>
      <c r="E7" s="631" t="s">
        <v>676</v>
      </c>
      <c r="F7" s="587" t="str">
        <f>F19</f>
        <v>Exhaust heat recovery (regenerator)</v>
      </c>
      <c r="G7" s="588" t="str">
        <f t="shared" ref="G7:L7" si="0">G19</f>
        <v>Exhaust air heat pump</v>
      </c>
      <c r="H7" s="588" t="str">
        <f t="shared" si="0"/>
        <v>Automatic programme for load and soil recognition</v>
      </c>
      <c r="I7" s="588" t="str">
        <f t="shared" si="0"/>
        <v xml:space="preserve">Improved thermal insulation (double-walled design) </v>
      </c>
      <c r="J7" s="588" t="str">
        <f t="shared" si="0"/>
        <v>Further substitution  of metals by polymers</v>
      </c>
      <c r="K7" s="588" t="str">
        <f t="shared" si="0"/>
        <v>Modular design and reuse of electronics</v>
      </c>
      <c r="L7" s="589" t="str">
        <f t="shared" si="0"/>
        <v xml:space="preserve">Other relevant design option (stakeholder input)
</v>
      </c>
    </row>
    <row r="8" spans="2:12" ht="23.5">
      <c r="B8" s="6"/>
      <c r="C8" s="585" t="str">
        <f>F19</f>
        <v>Exhaust heat recovery (regenerator)</v>
      </c>
      <c r="D8" s="569" t="s">
        <v>647</v>
      </c>
      <c r="E8" s="632"/>
      <c r="F8" s="635" t="s">
        <v>412</v>
      </c>
      <c r="G8" s="635"/>
      <c r="H8" s="635"/>
      <c r="I8" s="635"/>
      <c r="J8" s="635"/>
      <c r="K8" s="635"/>
      <c r="L8" s="636"/>
    </row>
    <row r="9" spans="2:12" ht="23.5">
      <c r="B9" s="6"/>
      <c r="C9" s="585" t="str">
        <f>G19</f>
        <v>Exhaust air heat pump</v>
      </c>
      <c r="D9" s="569" t="s">
        <v>648</v>
      </c>
      <c r="E9" s="633"/>
      <c r="F9" s="612"/>
      <c r="G9" s="586" t="s">
        <v>412</v>
      </c>
      <c r="H9" s="586"/>
      <c r="I9" s="586"/>
      <c r="J9" s="586"/>
      <c r="K9" s="586"/>
      <c r="L9" s="590"/>
    </row>
    <row r="10" spans="2:12" ht="23.5">
      <c r="B10" s="6"/>
      <c r="C10" s="585" t="str">
        <f>H19</f>
        <v>Automatic programme for load and soil recognition</v>
      </c>
      <c r="D10" s="569" t="s">
        <v>649</v>
      </c>
      <c r="E10" s="633"/>
      <c r="F10" s="612"/>
      <c r="G10" s="612"/>
      <c r="H10" s="586" t="s">
        <v>412</v>
      </c>
      <c r="I10" s="586"/>
      <c r="J10" s="586"/>
      <c r="K10" s="586"/>
      <c r="L10" s="590"/>
    </row>
    <row r="11" spans="2:12" ht="23.5">
      <c r="B11" s="6"/>
      <c r="C11" s="585" t="str">
        <f>I19</f>
        <v xml:space="preserve">Improved thermal insulation (double-walled design) </v>
      </c>
      <c r="D11" s="569" t="s">
        <v>650</v>
      </c>
      <c r="E11" s="633"/>
      <c r="F11" s="612"/>
      <c r="G11" s="612"/>
      <c r="H11" s="612"/>
      <c r="I11" s="586" t="s">
        <v>412</v>
      </c>
      <c r="J11" s="586"/>
      <c r="K11" s="586"/>
      <c r="L11" s="590"/>
    </row>
    <row r="12" spans="2:12" ht="23.5">
      <c r="B12" s="6"/>
      <c r="C12" s="585" t="str">
        <f>J19</f>
        <v>Further substitution  of metals by polymers</v>
      </c>
      <c r="D12" s="569" t="s">
        <v>651</v>
      </c>
      <c r="E12" s="633"/>
      <c r="F12" s="612"/>
      <c r="G12" s="612"/>
      <c r="H12" s="612"/>
      <c r="I12" s="612"/>
      <c r="J12" s="586" t="s">
        <v>412</v>
      </c>
      <c r="K12" s="586"/>
      <c r="L12" s="590"/>
    </row>
    <row r="13" spans="2:12" ht="23.5">
      <c r="B13" s="6"/>
      <c r="C13" s="585" t="str">
        <f>K19</f>
        <v>Modular design and reuse of electronics</v>
      </c>
      <c r="D13" s="569" t="s">
        <v>652</v>
      </c>
      <c r="E13" s="633"/>
      <c r="F13" s="612"/>
      <c r="G13" s="612"/>
      <c r="H13" s="612"/>
      <c r="I13" s="612"/>
      <c r="J13" s="612"/>
      <c r="K13" s="586" t="s">
        <v>412</v>
      </c>
      <c r="L13" s="590"/>
    </row>
    <row r="14" spans="2:12" ht="24" thickBot="1">
      <c r="B14" s="6"/>
      <c r="C14" s="585" t="str">
        <f>L19</f>
        <v xml:space="preserve">Other relevant design option (stakeholder input)
</v>
      </c>
      <c r="D14" s="569" t="s">
        <v>682</v>
      </c>
      <c r="E14" s="634"/>
      <c r="F14" s="613"/>
      <c r="G14" s="613"/>
      <c r="H14" s="613"/>
      <c r="I14" s="613"/>
      <c r="J14" s="613"/>
      <c r="K14" s="613"/>
      <c r="L14" s="591"/>
    </row>
    <row r="15" spans="2:12" ht="24" thickBot="1">
      <c r="B15" s="6"/>
      <c r="C15"/>
      <c r="D15" s="592" t="s">
        <v>661</v>
      </c>
      <c r="E15" s="678"/>
      <c r="F15" s="679"/>
      <c r="G15" s="679"/>
      <c r="H15" s="679"/>
      <c r="I15" s="679"/>
      <c r="J15" s="679"/>
      <c r="K15" s="679"/>
      <c r="L15" s="680"/>
    </row>
    <row r="16" spans="2:12">
      <c r="C16"/>
    </row>
    <row r="17" spans="2:13">
      <c r="C17"/>
    </row>
    <row r="18" spans="2:13" s="554" customFormat="1" ht="28">
      <c r="B18" s="54" t="s">
        <v>630</v>
      </c>
      <c r="C18" s="54"/>
      <c r="D18" s="54"/>
      <c r="E18" s="53"/>
      <c r="F18" s="584" t="s">
        <v>640</v>
      </c>
      <c r="G18" s="584" t="s">
        <v>641</v>
      </c>
      <c r="H18" s="584" t="s">
        <v>642</v>
      </c>
      <c r="I18" s="584" t="s">
        <v>643</v>
      </c>
      <c r="J18" s="584" t="s">
        <v>644</v>
      </c>
      <c r="K18" s="584" t="s">
        <v>645</v>
      </c>
      <c r="L18" s="584" t="s">
        <v>684</v>
      </c>
      <c r="M18" s="594" t="s">
        <v>663</v>
      </c>
    </row>
    <row r="19" spans="2:13" s="14" customFormat="1" ht="56.5" thickBot="1">
      <c r="B19" s="682" t="s">
        <v>678</v>
      </c>
      <c r="C19" s="682"/>
      <c r="D19" s="682"/>
      <c r="E19" s="683"/>
      <c r="F19" s="597" t="str">
        <f>'Design options'!B3</f>
        <v>Exhaust heat recovery (regenerator)</v>
      </c>
      <c r="G19" s="597" t="str">
        <f>'Design options'!B4</f>
        <v>Exhaust air heat pump</v>
      </c>
      <c r="H19" s="597" t="str">
        <f>'Design options'!B5</f>
        <v>Automatic programme for load and soil recognition</v>
      </c>
      <c r="I19" s="597" t="str">
        <f>'Design options'!B6</f>
        <v xml:space="preserve">Improved thermal insulation (double-walled design) </v>
      </c>
      <c r="J19" s="597" t="str">
        <f>'Design options'!B7</f>
        <v>Further substitution  of metals by polymers</v>
      </c>
      <c r="K19" s="597" t="str">
        <f>'Design options'!B8</f>
        <v>Modular design and reuse of electronics</v>
      </c>
      <c r="L19" s="622" t="str">
        <f>'Design options'!B9</f>
        <v xml:space="preserve">Other relevant design option (stakeholder input)
</v>
      </c>
    </row>
    <row r="20" spans="2:13" customFormat="1" ht="28.5" thickBot="1">
      <c r="B20" s="57" t="s">
        <v>304</v>
      </c>
      <c r="C20" s="57" t="s">
        <v>305</v>
      </c>
      <c r="D20" s="57" t="s">
        <v>7</v>
      </c>
      <c r="E20" s="570" t="s">
        <v>503</v>
      </c>
      <c r="F20" s="578" t="s">
        <v>662</v>
      </c>
      <c r="G20" s="578" t="s">
        <v>662</v>
      </c>
      <c r="H20" s="578" t="s">
        <v>662</v>
      </c>
      <c r="I20" s="578" t="s">
        <v>662</v>
      </c>
      <c r="J20" s="578" t="s">
        <v>662</v>
      </c>
      <c r="K20" s="58" t="s">
        <v>662</v>
      </c>
      <c r="L20" s="58" t="s">
        <v>662</v>
      </c>
      <c r="M20" s="58" t="s">
        <v>662</v>
      </c>
    </row>
    <row r="21" spans="2:13" customFormat="1">
      <c r="B21" s="31" t="s">
        <v>259</v>
      </c>
      <c r="C21" s="61">
        <v>980</v>
      </c>
      <c r="D21" s="556" t="s">
        <v>309</v>
      </c>
      <c r="E21" s="571">
        <v>1</v>
      </c>
      <c r="F21" s="627"/>
      <c r="G21" s="627"/>
      <c r="H21" s="627"/>
      <c r="I21" s="627"/>
      <c r="J21" s="627"/>
      <c r="K21" s="627"/>
      <c r="L21" s="627"/>
      <c r="M21" s="628"/>
    </row>
    <row r="22" spans="2:13" customFormat="1">
      <c r="B22" s="31" t="s">
        <v>313</v>
      </c>
      <c r="C22" s="61">
        <v>58</v>
      </c>
      <c r="D22" s="556" t="s">
        <v>309</v>
      </c>
      <c r="E22" s="572">
        <v>1</v>
      </c>
      <c r="F22" s="614"/>
      <c r="G22" s="614"/>
      <c r="H22" s="614"/>
      <c r="I22" s="614"/>
      <c r="J22" s="614"/>
      <c r="K22" s="614"/>
      <c r="L22" s="614"/>
      <c r="M22" s="624"/>
    </row>
    <row r="23" spans="2:13" customFormat="1">
      <c r="B23" s="31" t="s">
        <v>316</v>
      </c>
      <c r="C23" s="61">
        <v>18.66</v>
      </c>
      <c r="D23" s="556" t="s">
        <v>309</v>
      </c>
      <c r="E23" s="572">
        <v>1</v>
      </c>
      <c r="F23" s="614"/>
      <c r="G23" s="614"/>
      <c r="H23" s="614"/>
      <c r="I23" s="614"/>
      <c r="J23" s="614"/>
      <c r="K23" s="614"/>
      <c r="L23" s="614"/>
      <c r="M23" s="624"/>
    </row>
    <row r="24" spans="2:13" customFormat="1">
      <c r="B24" s="31" t="s">
        <v>320</v>
      </c>
      <c r="C24" s="61">
        <v>12</v>
      </c>
      <c r="D24" s="556" t="s">
        <v>309</v>
      </c>
      <c r="E24" s="572">
        <v>1</v>
      </c>
      <c r="F24" s="614"/>
      <c r="G24" s="614"/>
      <c r="H24" s="614"/>
      <c r="I24" s="614"/>
      <c r="J24" s="614"/>
      <c r="K24" s="614"/>
      <c r="L24" s="614"/>
      <c r="M24" s="624"/>
    </row>
    <row r="25" spans="2:13" customFormat="1">
      <c r="B25" s="31" t="s">
        <v>319</v>
      </c>
      <c r="C25" s="61">
        <v>0</v>
      </c>
      <c r="D25" s="556" t="s">
        <v>309</v>
      </c>
      <c r="E25" s="572">
        <v>1</v>
      </c>
      <c r="F25" s="614"/>
      <c r="G25" s="614"/>
      <c r="H25" s="614"/>
      <c r="I25" s="614"/>
      <c r="J25" s="614"/>
      <c r="K25" s="614"/>
      <c r="L25" s="614"/>
      <c r="M25" s="624"/>
    </row>
    <row r="26" spans="2:13" customFormat="1">
      <c r="B26" s="31" t="s">
        <v>261</v>
      </c>
      <c r="C26" s="61">
        <v>39.020000000000003</v>
      </c>
      <c r="D26" s="556" t="s">
        <v>309</v>
      </c>
      <c r="E26" s="572">
        <v>1</v>
      </c>
      <c r="F26" s="614"/>
      <c r="G26" s="614"/>
      <c r="H26" s="614"/>
      <c r="I26" s="614"/>
      <c r="J26" s="614"/>
      <c r="K26" s="614"/>
      <c r="L26" s="614"/>
      <c r="M26" s="624"/>
    </row>
    <row r="27" spans="2:13" customFormat="1">
      <c r="B27" s="31" t="s">
        <v>262</v>
      </c>
      <c r="C27" s="61">
        <v>37.07</v>
      </c>
      <c r="D27" s="556" t="s">
        <v>309</v>
      </c>
      <c r="E27" s="572">
        <v>1</v>
      </c>
      <c r="F27" s="614"/>
      <c r="G27" s="614"/>
      <c r="H27" s="614"/>
      <c r="I27" s="614"/>
      <c r="J27" s="614"/>
      <c r="K27" s="614"/>
      <c r="L27" s="614"/>
      <c r="M27" s="624"/>
    </row>
    <row r="28" spans="2:13" customFormat="1">
      <c r="B28" s="31" t="s">
        <v>263</v>
      </c>
      <c r="C28" s="61">
        <v>25.37</v>
      </c>
      <c r="D28" s="556" t="s">
        <v>309</v>
      </c>
      <c r="E28" s="572">
        <v>1</v>
      </c>
      <c r="F28" s="614"/>
      <c r="G28" s="614"/>
      <c r="H28" s="614"/>
      <c r="I28" s="614"/>
      <c r="J28" s="614"/>
      <c r="K28" s="614"/>
      <c r="L28" s="614"/>
      <c r="M28" s="624"/>
    </row>
    <row r="29" spans="2:13" customFormat="1">
      <c r="B29" s="31" t="s">
        <v>264</v>
      </c>
      <c r="C29" s="61">
        <v>44.88</v>
      </c>
      <c r="D29" s="556" t="s">
        <v>309</v>
      </c>
      <c r="E29" s="572">
        <v>1</v>
      </c>
      <c r="F29" s="614"/>
      <c r="G29" s="614"/>
      <c r="H29" s="614"/>
      <c r="I29" s="614"/>
      <c r="J29" s="614"/>
      <c r="K29" s="614"/>
      <c r="L29" s="614"/>
      <c r="M29" s="624"/>
    </row>
    <row r="30" spans="2:13" customFormat="1">
      <c r="B30" s="31" t="s">
        <v>330</v>
      </c>
      <c r="C30" s="61">
        <v>4.72</v>
      </c>
      <c r="D30" s="556" t="s">
        <v>309</v>
      </c>
      <c r="E30" s="572">
        <v>1</v>
      </c>
      <c r="F30" s="614"/>
      <c r="G30" s="614"/>
      <c r="H30" s="614"/>
      <c r="I30" s="614"/>
      <c r="J30" s="614"/>
      <c r="K30" s="614"/>
      <c r="L30" s="614"/>
      <c r="M30" s="624"/>
    </row>
    <row r="31" spans="2:13" customFormat="1">
      <c r="B31" s="31" t="s">
        <v>333</v>
      </c>
      <c r="C31" s="61">
        <v>7.08</v>
      </c>
      <c r="D31" s="556" t="s">
        <v>309</v>
      </c>
      <c r="E31" s="572">
        <v>1</v>
      </c>
      <c r="F31" s="614"/>
      <c r="G31" s="614"/>
      <c r="H31" s="614"/>
      <c r="I31" s="614"/>
      <c r="J31" s="614"/>
      <c r="K31" s="614"/>
      <c r="L31" s="614"/>
      <c r="M31" s="624"/>
    </row>
    <row r="32" spans="2:13" customFormat="1">
      <c r="B32" s="31" t="s">
        <v>336</v>
      </c>
      <c r="C32" s="61">
        <v>17.440000000000001</v>
      </c>
      <c r="D32" s="556" t="s">
        <v>309</v>
      </c>
      <c r="E32" s="572">
        <v>1</v>
      </c>
      <c r="F32" s="614"/>
      <c r="G32" s="614"/>
      <c r="H32" s="614"/>
      <c r="I32" s="614"/>
      <c r="J32" s="614"/>
      <c r="K32" s="614"/>
      <c r="L32" s="614"/>
      <c r="M32" s="624"/>
    </row>
    <row r="33" spans="2:16" customFormat="1">
      <c r="B33" s="31" t="s">
        <v>340</v>
      </c>
      <c r="C33" s="61">
        <v>10.16</v>
      </c>
      <c r="D33" s="556" t="s">
        <v>309</v>
      </c>
      <c r="E33" s="572">
        <v>1</v>
      </c>
      <c r="F33" s="614"/>
      <c r="G33" s="614"/>
      <c r="H33" s="614"/>
      <c r="I33" s="614"/>
      <c r="J33" s="614"/>
      <c r="K33" s="614"/>
      <c r="L33" s="614"/>
      <c r="M33" s="624"/>
    </row>
    <row r="34" spans="2:16" customFormat="1">
      <c r="B34" s="31" t="s">
        <v>344</v>
      </c>
      <c r="C34" s="61">
        <v>4</v>
      </c>
      <c r="D34" s="556" t="s">
        <v>309</v>
      </c>
      <c r="E34" s="572">
        <v>1</v>
      </c>
      <c r="F34" s="614"/>
      <c r="G34" s="614"/>
      <c r="H34" s="614"/>
      <c r="I34" s="614"/>
      <c r="J34" s="614"/>
      <c r="K34" s="614"/>
      <c r="L34" s="614"/>
      <c r="M34" s="624"/>
    </row>
    <row r="35" spans="2:16" customFormat="1">
      <c r="B35" s="31" t="s">
        <v>345</v>
      </c>
      <c r="C35" s="61">
        <v>5</v>
      </c>
      <c r="D35" s="556" t="s">
        <v>309</v>
      </c>
      <c r="E35" s="572">
        <v>1</v>
      </c>
      <c r="F35" s="614"/>
      <c r="G35" s="614"/>
      <c r="H35" s="614"/>
      <c r="I35" s="614"/>
      <c r="J35" s="614"/>
      <c r="K35" s="614"/>
      <c r="L35" s="614"/>
      <c r="M35" s="624"/>
    </row>
    <row r="36" spans="2:16" customFormat="1">
      <c r="B36" s="31" t="s">
        <v>265</v>
      </c>
      <c r="C36" s="61">
        <v>19.8</v>
      </c>
      <c r="D36" s="556" t="s">
        <v>309</v>
      </c>
      <c r="E36" s="572">
        <v>1</v>
      </c>
      <c r="F36" s="614"/>
      <c r="G36" s="614"/>
      <c r="H36" s="614"/>
      <c r="I36" s="614"/>
      <c r="J36" s="614"/>
      <c r="K36" s="614"/>
      <c r="L36" s="614"/>
      <c r="M36" s="624"/>
    </row>
    <row r="37" spans="2:16" customFormat="1">
      <c r="B37" s="31" t="s">
        <v>332</v>
      </c>
      <c r="C37" s="61">
        <v>11.44</v>
      </c>
      <c r="D37" s="556" t="s">
        <v>309</v>
      </c>
      <c r="E37" s="572">
        <v>1</v>
      </c>
      <c r="F37" s="614"/>
      <c r="G37" s="614"/>
      <c r="H37" s="614"/>
      <c r="I37" s="614"/>
      <c r="J37" s="614"/>
      <c r="K37" s="614"/>
      <c r="L37" s="614"/>
      <c r="M37" s="624"/>
    </row>
    <row r="38" spans="2:16" customFormat="1">
      <c r="B38" s="31" t="s">
        <v>335</v>
      </c>
      <c r="C38" s="61">
        <v>8.36</v>
      </c>
      <c r="D38" s="556" t="s">
        <v>309</v>
      </c>
      <c r="E38" s="572">
        <v>1</v>
      </c>
      <c r="F38" s="614"/>
      <c r="G38" s="614"/>
      <c r="H38" s="614"/>
      <c r="I38" s="614"/>
      <c r="J38" s="614"/>
      <c r="K38" s="614"/>
      <c r="L38" s="614"/>
      <c r="M38" s="624"/>
    </row>
    <row r="39" spans="2:16" customFormat="1">
      <c r="B39" s="31" t="s">
        <v>351</v>
      </c>
      <c r="C39" s="61">
        <v>10</v>
      </c>
      <c r="D39" s="556" t="s">
        <v>309</v>
      </c>
      <c r="E39" s="572">
        <v>1</v>
      </c>
      <c r="F39" s="614"/>
      <c r="G39" s="614"/>
      <c r="H39" s="614"/>
      <c r="I39" s="614"/>
      <c r="J39" s="614"/>
      <c r="K39" s="614"/>
      <c r="L39" s="614"/>
      <c r="M39" s="624"/>
    </row>
    <row r="40" spans="2:16" s="554" customFormat="1">
      <c r="B40" s="552" t="s">
        <v>343</v>
      </c>
      <c r="C40" s="553">
        <v>15</v>
      </c>
      <c r="D40" s="557" t="s">
        <v>309</v>
      </c>
      <c r="E40" s="572">
        <v>1</v>
      </c>
      <c r="F40" s="614"/>
      <c r="G40" s="614"/>
      <c r="H40" s="614"/>
      <c r="I40" s="614"/>
      <c r="J40" s="614"/>
      <c r="K40" s="614"/>
      <c r="L40" s="614"/>
      <c r="M40" s="624"/>
    </row>
    <row r="41" spans="2:16" customFormat="1">
      <c r="B41" s="31" t="s">
        <v>338</v>
      </c>
      <c r="C41" s="61">
        <v>5</v>
      </c>
      <c r="D41" s="557" t="s">
        <v>493</v>
      </c>
      <c r="E41" s="572">
        <v>1</v>
      </c>
      <c r="F41" s="614"/>
      <c r="G41" s="614"/>
      <c r="H41" s="614"/>
      <c r="I41" s="614"/>
      <c r="J41" s="614"/>
      <c r="K41" s="614"/>
      <c r="L41" s="614"/>
      <c r="M41" s="624"/>
    </row>
    <row r="42" spans="2:16" customFormat="1">
      <c r="B42" s="31">
        <v>0</v>
      </c>
      <c r="C42" s="61">
        <v>0</v>
      </c>
      <c r="D42" s="556">
        <v>0</v>
      </c>
      <c r="E42" s="572">
        <v>1</v>
      </c>
      <c r="F42" s="614"/>
      <c r="G42" s="614"/>
      <c r="H42" s="614"/>
      <c r="I42" s="614"/>
      <c r="J42" s="614"/>
      <c r="K42" s="614"/>
      <c r="L42" s="614"/>
      <c r="M42" s="624"/>
    </row>
    <row r="43" spans="2:16" customFormat="1">
      <c r="B43" s="31">
        <v>0</v>
      </c>
      <c r="C43" s="61">
        <v>0</v>
      </c>
      <c r="D43" s="556">
        <v>0</v>
      </c>
      <c r="E43" s="572">
        <v>1</v>
      </c>
      <c r="F43" s="614"/>
      <c r="G43" s="614"/>
      <c r="H43" s="614"/>
      <c r="I43" s="614"/>
      <c r="J43" s="614"/>
      <c r="K43" s="614"/>
      <c r="L43" s="614"/>
      <c r="M43" s="624"/>
    </row>
    <row r="44" spans="2:16" customFormat="1">
      <c r="B44" s="31">
        <v>0</v>
      </c>
      <c r="C44" s="61">
        <v>0</v>
      </c>
      <c r="D44" s="556">
        <v>0</v>
      </c>
      <c r="E44" s="572">
        <v>1</v>
      </c>
      <c r="F44" s="614"/>
      <c r="G44" s="614"/>
      <c r="H44" s="614"/>
      <c r="I44" s="614"/>
      <c r="J44" s="614"/>
      <c r="K44" s="614"/>
      <c r="L44" s="614"/>
      <c r="M44" s="624"/>
    </row>
    <row r="45" spans="2:16" customFormat="1" ht="14.5" thickBot="1">
      <c r="B45" s="68">
        <v>0</v>
      </c>
      <c r="C45" s="69">
        <v>0</v>
      </c>
      <c r="D45" s="559">
        <v>0</v>
      </c>
      <c r="E45" s="573">
        <v>1</v>
      </c>
      <c r="F45" s="629"/>
      <c r="G45" s="629"/>
      <c r="H45" s="629"/>
      <c r="I45" s="629"/>
      <c r="J45" s="629"/>
      <c r="K45" s="629"/>
      <c r="L45" s="629"/>
      <c r="M45" s="630"/>
    </row>
    <row r="46" spans="2:16" customFormat="1" ht="14.5" thickBot="1">
      <c r="B46" s="74" t="s">
        <v>353</v>
      </c>
      <c r="C46" s="75">
        <v>1343.4</v>
      </c>
      <c r="D46" s="211" t="s">
        <v>309</v>
      </c>
      <c r="E46" s="574">
        <v>1</v>
      </c>
      <c r="F46" s="574"/>
      <c r="G46" s="574"/>
      <c r="H46" s="574"/>
      <c r="I46" s="574"/>
      <c r="J46" s="574"/>
      <c r="K46" s="560"/>
      <c r="L46" s="560"/>
      <c r="M46" s="560"/>
    </row>
    <row r="47" spans="2:16" customFormat="1" ht="24" thickBot="1">
      <c r="B47" s="3"/>
      <c r="C47" s="6"/>
      <c r="E47" s="592" t="s">
        <v>661</v>
      </c>
      <c r="F47" s="678"/>
      <c r="G47" s="679"/>
      <c r="H47" s="679"/>
      <c r="I47" s="679"/>
      <c r="J47" s="679"/>
      <c r="K47" s="679"/>
      <c r="L47" s="680"/>
      <c r="M47" s="593"/>
    </row>
    <row r="48" spans="2:16" customFormat="1">
      <c r="B48" s="5"/>
      <c r="C48" s="7"/>
      <c r="D48" s="8"/>
      <c r="E48" s="8"/>
      <c r="F48" s="8"/>
      <c r="G48" s="580"/>
      <c r="H48" s="581"/>
      <c r="I48" s="114"/>
      <c r="J48" s="114"/>
      <c r="K48" s="581"/>
      <c r="L48" s="581"/>
      <c r="M48" s="5"/>
      <c r="N48" s="5"/>
      <c r="O48" s="5"/>
      <c r="P48" s="4"/>
    </row>
    <row r="49" spans="1:16" customFormat="1">
      <c r="B49" s="5"/>
      <c r="C49" s="7"/>
      <c r="D49" s="8"/>
      <c r="E49" s="8"/>
      <c r="F49" s="8"/>
      <c r="G49" s="580"/>
      <c r="H49" s="581"/>
      <c r="I49" s="114"/>
      <c r="J49" s="114"/>
      <c r="K49" s="581"/>
      <c r="L49" s="581"/>
      <c r="M49" s="5"/>
      <c r="N49" s="5"/>
      <c r="O49" s="5"/>
      <c r="P49" s="4"/>
    </row>
    <row r="50" spans="1:16" s="567" customFormat="1" ht="28">
      <c r="B50" s="54" t="s">
        <v>631</v>
      </c>
      <c r="C50" s="99"/>
      <c r="D50" s="54"/>
      <c r="E50" s="54"/>
      <c r="F50" s="584" t="s">
        <v>634</v>
      </c>
      <c r="G50" s="584" t="s">
        <v>635</v>
      </c>
      <c r="H50" s="584" t="s">
        <v>636</v>
      </c>
      <c r="I50" s="584" t="s">
        <v>637</v>
      </c>
      <c r="J50" s="584" t="s">
        <v>638</v>
      </c>
      <c r="K50" s="584" t="s">
        <v>639</v>
      </c>
      <c r="L50" s="584" t="s">
        <v>684</v>
      </c>
      <c r="M50" s="594" t="s">
        <v>663</v>
      </c>
    </row>
    <row r="51" spans="1:16" s="147" customFormat="1" ht="56.5" thickBot="1">
      <c r="B51" s="682" t="s">
        <v>677</v>
      </c>
      <c r="C51" s="682"/>
      <c r="D51" s="682"/>
      <c r="E51" s="683"/>
      <c r="F51" s="595" t="str">
        <f>F19</f>
        <v>Exhaust heat recovery (regenerator)</v>
      </c>
      <c r="G51" s="595" t="str">
        <f t="shared" ref="G51:L51" si="1">G19</f>
        <v>Exhaust air heat pump</v>
      </c>
      <c r="H51" s="595" t="str">
        <f t="shared" si="1"/>
        <v>Automatic programme for load and soil recognition</v>
      </c>
      <c r="I51" s="595" t="str">
        <f t="shared" si="1"/>
        <v xml:space="preserve">Improved thermal insulation (double-walled design) </v>
      </c>
      <c r="J51" s="595" t="str">
        <f t="shared" si="1"/>
        <v>Further substitution  of metals by polymers</v>
      </c>
      <c r="K51" s="595" t="str">
        <f t="shared" si="1"/>
        <v>Modular design and reuse of electronics</v>
      </c>
      <c r="L51" s="595" t="str">
        <f t="shared" si="1"/>
        <v xml:space="preserve">Other relevant design option (stakeholder input)
</v>
      </c>
      <c r="M51" s="596"/>
    </row>
    <row r="52" spans="1:16" s="114" customFormat="1" ht="28.5" thickBot="1">
      <c r="B52" s="555" t="s">
        <v>667</v>
      </c>
      <c r="C52" s="18" t="s">
        <v>305</v>
      </c>
      <c r="D52" s="18" t="s">
        <v>7</v>
      </c>
      <c r="E52" s="575" t="s">
        <v>503</v>
      </c>
      <c r="F52" s="578" t="s">
        <v>662</v>
      </c>
      <c r="G52" s="578" t="s">
        <v>662</v>
      </c>
      <c r="H52" s="578" t="s">
        <v>662</v>
      </c>
      <c r="I52" s="578" t="s">
        <v>662</v>
      </c>
      <c r="J52" s="578" t="s">
        <v>662</v>
      </c>
      <c r="K52" s="58" t="s">
        <v>662</v>
      </c>
      <c r="L52" s="58" t="s">
        <v>662</v>
      </c>
      <c r="M52" s="58" t="s">
        <v>662</v>
      </c>
    </row>
    <row r="53" spans="1:16" s="114" customFormat="1">
      <c r="B53" s="30"/>
      <c r="C53" s="565"/>
      <c r="D53" s="566"/>
      <c r="E53" s="571"/>
      <c r="F53" s="639"/>
      <c r="G53" s="640"/>
      <c r="H53" s="640"/>
      <c r="I53" s="640"/>
      <c r="J53" s="640"/>
      <c r="K53" s="640"/>
      <c r="L53" s="640"/>
      <c r="M53" s="637"/>
    </row>
    <row r="54" spans="1:16" ht="28">
      <c r="B54" s="30" t="s">
        <v>626</v>
      </c>
      <c r="C54" s="600">
        <v>2.86</v>
      </c>
      <c r="D54" s="598" t="s">
        <v>57</v>
      </c>
      <c r="E54" s="571">
        <v>1</v>
      </c>
      <c r="F54" s="611"/>
      <c r="G54" s="612"/>
      <c r="H54" s="612"/>
      <c r="I54" s="612"/>
      <c r="J54" s="612"/>
      <c r="K54" s="612"/>
      <c r="L54" s="612"/>
      <c r="M54" s="624"/>
    </row>
    <row r="55" spans="1:16" s="4" customFormat="1" ht="28">
      <c r="B55" s="458" t="s">
        <v>627</v>
      </c>
      <c r="C55" s="604">
        <v>16</v>
      </c>
      <c r="D55" s="599" t="s">
        <v>59</v>
      </c>
      <c r="E55" s="572">
        <v>1</v>
      </c>
      <c r="F55" s="641"/>
      <c r="G55" s="615"/>
      <c r="H55" s="615"/>
      <c r="I55" s="615"/>
      <c r="J55" s="615"/>
      <c r="K55" s="615"/>
      <c r="L55" s="615"/>
      <c r="M55" s="624"/>
    </row>
    <row r="56" spans="1:16" s="4" customFormat="1" ht="28">
      <c r="B56" s="458" t="s">
        <v>629</v>
      </c>
      <c r="C56" s="605">
        <v>36</v>
      </c>
      <c r="D56" s="564" t="s">
        <v>60</v>
      </c>
      <c r="E56" s="572">
        <v>1</v>
      </c>
      <c r="F56" s="641"/>
      <c r="G56" s="615"/>
      <c r="H56" s="615"/>
      <c r="I56" s="615"/>
      <c r="J56" s="615"/>
      <c r="K56" s="615"/>
      <c r="L56" s="615"/>
      <c r="M56" s="624"/>
    </row>
    <row r="57" spans="1:16" s="4" customFormat="1" ht="28.5" thickBot="1">
      <c r="B57" s="458" t="s">
        <v>628</v>
      </c>
      <c r="C57" s="605">
        <v>3</v>
      </c>
      <c r="D57" s="564" t="s">
        <v>60</v>
      </c>
      <c r="E57" s="572">
        <v>1</v>
      </c>
      <c r="F57" s="642"/>
      <c r="G57" s="643"/>
      <c r="H57" s="643"/>
      <c r="I57" s="643"/>
      <c r="J57" s="643"/>
      <c r="K57" s="643"/>
      <c r="L57" s="643"/>
      <c r="M57" s="638"/>
    </row>
    <row r="58" spans="1:16" customFormat="1" ht="89.5" thickBot="1">
      <c r="B58" s="601" t="s">
        <v>668</v>
      </c>
      <c r="C58" s="6"/>
      <c r="E58" s="592" t="s">
        <v>661</v>
      </c>
      <c r="F58" s="678"/>
      <c r="G58" s="679"/>
      <c r="H58" s="679"/>
      <c r="I58" s="679"/>
      <c r="J58" s="679"/>
      <c r="K58" s="679"/>
      <c r="L58" s="680"/>
      <c r="M58" s="593"/>
    </row>
    <row r="61" spans="1:16" s="567" customFormat="1" ht="28">
      <c r="A61" s="568"/>
      <c r="B61" s="576" t="s">
        <v>632</v>
      </c>
      <c r="C61" s="577"/>
      <c r="D61" s="576"/>
      <c r="E61" s="577"/>
      <c r="F61" s="584" t="s">
        <v>634</v>
      </c>
      <c r="G61" s="584" t="s">
        <v>635</v>
      </c>
      <c r="H61" s="584" t="s">
        <v>636</v>
      </c>
      <c r="I61" s="584" t="s">
        <v>637</v>
      </c>
      <c r="J61" s="584" t="s">
        <v>638</v>
      </c>
      <c r="K61" s="584" t="s">
        <v>639</v>
      </c>
      <c r="L61" s="584" t="s">
        <v>684</v>
      </c>
      <c r="M61" s="594" t="s">
        <v>663</v>
      </c>
    </row>
    <row r="62" spans="1:16" s="147" customFormat="1" ht="56.5" thickBot="1">
      <c r="B62" s="682" t="s">
        <v>679</v>
      </c>
      <c r="C62" s="682"/>
      <c r="D62" s="682"/>
      <c r="E62" s="683"/>
      <c r="F62" s="595" t="str">
        <f>F19</f>
        <v>Exhaust heat recovery (regenerator)</v>
      </c>
      <c r="G62" s="595" t="str">
        <f t="shared" ref="G62:L62" si="2">G19</f>
        <v>Exhaust air heat pump</v>
      </c>
      <c r="H62" s="595" t="str">
        <f t="shared" si="2"/>
        <v>Automatic programme for load and soil recognition</v>
      </c>
      <c r="I62" s="595" t="str">
        <f t="shared" si="2"/>
        <v xml:space="preserve">Improved thermal insulation (double-walled design) </v>
      </c>
      <c r="J62" s="595" t="str">
        <f t="shared" si="2"/>
        <v>Further substitution  of metals by polymers</v>
      </c>
      <c r="K62" s="595" t="str">
        <f t="shared" si="2"/>
        <v>Modular design and reuse of electronics</v>
      </c>
      <c r="L62" s="595" t="str">
        <f t="shared" si="2"/>
        <v xml:space="preserve">Other relevant design option (stakeholder input)
</v>
      </c>
      <c r="M62" s="596"/>
    </row>
    <row r="63" spans="1:16" ht="28.5" thickBot="1">
      <c r="B63" s="561" t="s">
        <v>573</v>
      </c>
      <c r="C63" s="562" t="s">
        <v>305</v>
      </c>
      <c r="D63" s="561" t="s">
        <v>7</v>
      </c>
      <c r="E63" s="575" t="s">
        <v>503</v>
      </c>
      <c r="F63" s="578" t="s">
        <v>662</v>
      </c>
      <c r="G63" s="578" t="s">
        <v>662</v>
      </c>
      <c r="H63" s="578" t="s">
        <v>662</v>
      </c>
      <c r="I63" s="578" t="s">
        <v>662</v>
      </c>
      <c r="J63" s="578" t="s">
        <v>662</v>
      </c>
      <c r="K63" s="58" t="s">
        <v>662</v>
      </c>
      <c r="L63" s="58" t="s">
        <v>662</v>
      </c>
      <c r="M63" s="58" t="s">
        <v>662</v>
      </c>
    </row>
    <row r="64" spans="1:16">
      <c r="A64" s="4"/>
      <c r="B64" s="47" t="s">
        <v>416</v>
      </c>
      <c r="C64" s="273">
        <v>15</v>
      </c>
      <c r="D64" s="47" t="str">
        <f>'Input use - economics'!D36</f>
        <v>years</v>
      </c>
      <c r="E64" s="571">
        <v>1</v>
      </c>
      <c r="F64" s="612"/>
      <c r="G64" s="612"/>
      <c r="H64" s="612"/>
      <c r="I64" s="612"/>
      <c r="J64" s="612"/>
      <c r="K64" s="612"/>
      <c r="L64" s="623"/>
      <c r="M64" s="616"/>
    </row>
    <row r="65" spans="1:13" ht="14.5" thickBot="1">
      <c r="A65" s="4"/>
      <c r="B65" s="33" t="s">
        <v>422</v>
      </c>
      <c r="C65" s="452">
        <v>22866.995000000003</v>
      </c>
      <c r="D65" s="33" t="str">
        <f>'Input use - economics'!D40</f>
        <v>Euro/unit</v>
      </c>
      <c r="E65" s="571">
        <v>1</v>
      </c>
      <c r="F65" s="644"/>
      <c r="G65" s="644"/>
      <c r="H65" s="644"/>
      <c r="I65" s="644"/>
      <c r="J65" s="644"/>
      <c r="K65" s="644"/>
      <c r="L65" s="645"/>
      <c r="M65" s="617"/>
    </row>
    <row r="66" spans="1:13" customFormat="1" ht="24" thickBot="1">
      <c r="B66" s="3"/>
      <c r="C66" s="6"/>
      <c r="E66" s="592" t="s">
        <v>661</v>
      </c>
      <c r="F66" s="678"/>
      <c r="G66" s="679"/>
      <c r="H66" s="679"/>
      <c r="I66" s="679"/>
      <c r="J66" s="679"/>
      <c r="K66" s="679"/>
      <c r="L66" s="680"/>
      <c r="M66" s="593"/>
    </row>
    <row r="68" spans="1:13">
      <c r="C68"/>
      <c r="D68" s="461"/>
      <c r="E68" s="461"/>
      <c r="F68" s="582"/>
      <c r="G68" s="583"/>
    </row>
  </sheetData>
  <mergeCells count="8">
    <mergeCell ref="B5:E5"/>
    <mergeCell ref="E15:L15"/>
    <mergeCell ref="F47:L47"/>
    <mergeCell ref="F58:L58"/>
    <mergeCell ref="F66:L66"/>
    <mergeCell ref="B19:E19"/>
    <mergeCell ref="B51:E51"/>
    <mergeCell ref="B62:E6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5F7C36E-6A84-4180-8835-BCD616F83BE7}">
          <x14:formula1>
            <xm:f>Lists!$B$10:$B$12</xm:f>
          </x14:formula1>
          <xm:sqref>F9:F14 G10:G14 H11:H14 I12:I14 J13:J14 K14</xm:sqref>
        </x14:dataValidation>
        <x14:dataValidation type="list" allowBlank="1" showInputMessage="1" showErrorMessage="1" xr:uid="{892AEE7C-2B00-4EDF-987D-283713B0761C}">
          <x14:formula1>
            <xm:f>Lists!$B$2:$B$3</xm:f>
          </x14:formula1>
          <xm:sqref>E8:E14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E07F-254A-42E5-9371-0CB05496A190}">
  <sheetPr>
    <tabColor theme="5"/>
  </sheetPr>
  <dimension ref="A1:P203"/>
  <sheetViews>
    <sheetView topLeftCell="A166" zoomScale="90" zoomScaleNormal="90" workbookViewId="0">
      <selection activeCell="C182" sqref="C182"/>
    </sheetView>
  </sheetViews>
  <sheetFormatPr baseColWidth="10" defaultColWidth="8.75" defaultRowHeight="14"/>
  <cols>
    <col min="1" max="1" width="5" style="3" customWidth="1"/>
    <col min="2" max="2" width="46.25" style="3" customWidth="1"/>
    <col min="3" max="3" width="12.25" style="3" customWidth="1"/>
    <col min="4" max="4" width="15.1640625" style="3" customWidth="1"/>
    <col min="5" max="5" width="17.25" style="3" customWidth="1"/>
    <col min="6" max="6" width="22.5" style="3" customWidth="1"/>
    <col min="7" max="7" width="31.25" style="3" customWidth="1"/>
    <col min="8" max="8" width="43.4140625" style="3" customWidth="1"/>
    <col min="9" max="9" width="17.5" style="3" customWidth="1"/>
    <col min="10" max="10" width="45.75" style="3" customWidth="1"/>
    <col min="11" max="11" width="24.5" style="3" customWidth="1"/>
    <col min="12" max="12" width="24.25" style="3" customWidth="1"/>
    <col min="13" max="13" width="18.75" style="3" customWidth="1"/>
    <col min="14" max="14" width="26.83203125" style="3" customWidth="1"/>
    <col min="15" max="15" width="102.83203125" style="3" customWidth="1"/>
    <col min="16" max="16" width="82.5" style="3" customWidth="1"/>
    <col min="17" max="16384" width="8.75" style="3"/>
  </cols>
  <sheetData>
    <row r="1" spans="2:16" ht="23.5">
      <c r="B1" s="6" t="s">
        <v>443</v>
      </c>
      <c r="C1"/>
    </row>
    <row r="2" spans="2:16">
      <c r="B2" s="15" t="s">
        <v>444</v>
      </c>
      <c r="C2"/>
    </row>
    <row r="3" spans="2:16">
      <c r="B3" s="16" t="s">
        <v>445</v>
      </c>
      <c r="C3"/>
    </row>
    <row r="4" spans="2:16">
      <c r="C4"/>
    </row>
    <row r="5" spans="2:16" ht="14.5" thickBot="1">
      <c r="B5"/>
      <c r="C5"/>
    </row>
    <row r="6" spans="2:16" ht="14.5" thickBot="1">
      <c r="B6" s="693" t="s">
        <v>446</v>
      </c>
      <c r="C6" s="694"/>
      <c r="D6" s="694"/>
      <c r="E6" s="694"/>
      <c r="F6" s="694"/>
      <c r="G6" s="694"/>
      <c r="H6" s="694"/>
      <c r="I6" s="695"/>
    </row>
    <row r="7" spans="2:16" ht="14.5">
      <c r="B7" s="270" t="s">
        <v>447</v>
      </c>
      <c r="C7" s="696" t="str">
        <f>'Input BoM- Manufacturing'!AF4</f>
        <v>Base case 6</v>
      </c>
      <c r="D7" s="696"/>
      <c r="E7" s="696"/>
      <c r="F7" s="696"/>
      <c r="G7" s="696"/>
      <c r="H7" s="696"/>
      <c r="I7" s="696"/>
    </row>
    <row r="8" spans="2:16" ht="14.5">
      <c r="B8" s="271" t="s">
        <v>448</v>
      </c>
      <c r="C8" s="697" t="str">
        <f>'Input BoM- Manufacturing'!$AF$5</f>
        <v>Multi-tank conveyor-type dishwashers</v>
      </c>
      <c r="D8" s="697"/>
      <c r="E8" s="697"/>
      <c r="F8" s="697"/>
      <c r="G8" s="697"/>
      <c r="H8" s="697"/>
      <c r="I8" s="697"/>
    </row>
    <row r="9" spans="2:16" ht="14.5">
      <c r="B9" s="173" t="s">
        <v>449</v>
      </c>
      <c r="C9" s="697" t="s">
        <v>450</v>
      </c>
      <c r="D9" s="697"/>
      <c r="E9" s="697"/>
      <c r="F9" s="697"/>
      <c r="G9" s="697"/>
      <c r="H9" s="697"/>
      <c r="I9" s="697"/>
    </row>
    <row r="10" spans="2:16" ht="15" thickBot="1">
      <c r="B10" s="272" t="s">
        <v>451</v>
      </c>
      <c r="C10" s="698" t="s">
        <v>452</v>
      </c>
      <c r="D10" s="698"/>
      <c r="E10" s="698"/>
      <c r="F10" s="698"/>
      <c r="G10" s="698"/>
      <c r="H10" s="698"/>
      <c r="I10" s="698"/>
    </row>
    <row r="12" spans="2:16" s="53" customFormat="1" ht="21">
      <c r="B12" s="54" t="s">
        <v>453</v>
      </c>
      <c r="C12" s="54"/>
      <c r="D12" s="54"/>
      <c r="G12" s="99"/>
    </row>
    <row r="13" spans="2:16" customFormat="1" ht="15.65" customHeight="1">
      <c r="C13" s="1"/>
      <c r="D13" s="1"/>
      <c r="G13" s="3"/>
    </row>
    <row r="14" spans="2:16" customFormat="1" ht="14.5">
      <c r="B14" s="13"/>
      <c r="G14" s="3"/>
    </row>
    <row r="15" spans="2:16" customFormat="1" ht="15" thickBot="1">
      <c r="B15" s="13" t="s">
        <v>601</v>
      </c>
      <c r="D15" s="79" t="s">
        <v>454</v>
      </c>
      <c r="G15" s="3"/>
      <c r="N15" s="13" t="s">
        <v>455</v>
      </c>
    </row>
    <row r="16" spans="2:16" customFormat="1" ht="28.5" thickBot="1">
      <c r="B16" s="57" t="s">
        <v>304</v>
      </c>
      <c r="C16" s="57" t="s">
        <v>305</v>
      </c>
      <c r="D16" s="57" t="s">
        <v>7</v>
      </c>
      <c r="E16" s="57" t="s">
        <v>306</v>
      </c>
      <c r="F16" s="57" t="s">
        <v>307</v>
      </c>
      <c r="G16" s="58" t="s">
        <v>456</v>
      </c>
      <c r="H16" s="58" t="s">
        <v>457</v>
      </c>
      <c r="I16" s="57" t="s">
        <v>458</v>
      </c>
      <c r="J16" s="57" t="s">
        <v>459</v>
      </c>
      <c r="K16" s="57" t="s">
        <v>460</v>
      </c>
      <c r="L16" s="57" t="s">
        <v>461</v>
      </c>
      <c r="M16" s="17" t="s">
        <v>462</v>
      </c>
      <c r="N16" s="40" t="s">
        <v>463</v>
      </c>
      <c r="O16" s="57" t="s">
        <v>464</v>
      </c>
      <c r="P16" s="57" t="s">
        <v>465</v>
      </c>
    </row>
    <row r="17" spans="2:16" customFormat="1" ht="14.5">
      <c r="B17" s="31" t="str">
        <f>'Input BoM- Manufacturing'!AF7</f>
        <v>Stainless steel</v>
      </c>
      <c r="C17" s="61">
        <f>'Input BoM- Manufacturing'!AG7</f>
        <v>980</v>
      </c>
      <c r="D17" s="208" t="str">
        <f>'Input BoM- Manufacturing'!AH7</f>
        <v>kg</v>
      </c>
      <c r="E17" s="59">
        <f>'Input BoM- Manufacturing'!AI7</f>
        <v>0.72949233288670534</v>
      </c>
      <c r="F17" s="208" t="str">
        <f>'Input BoM- Manufacturing'!AJ7</f>
        <v>3-Ferrous</v>
      </c>
      <c r="G17" s="169" t="s">
        <v>466</v>
      </c>
      <c r="H17" s="62" t="str">
        <f>IF(G17="Yes", "Default","")</f>
        <v>Default</v>
      </c>
      <c r="I17" s="33" t="s">
        <v>467</v>
      </c>
      <c r="J17" s="31" t="str">
        <f>IF(I17="Stakeholder input","High quality",IF(I17="Previous study","Medium quality",IF(I17="Literature","Medium quality",IF(I17="Googling","Fair quality",IF(I17="Scientific literature","High quality",IF(I17="Expert judgement","Medium quality",""))))))</f>
        <v>Medium quality</v>
      </c>
      <c r="K17" s="31"/>
      <c r="L17" s="36" t="s">
        <v>496</v>
      </c>
      <c r="M17" s="35"/>
      <c r="N17" s="39"/>
      <c r="O17" s="31" t="s">
        <v>468</v>
      </c>
      <c r="P17" s="31" t="s">
        <v>469</v>
      </c>
    </row>
    <row r="18" spans="2:16" customFormat="1" ht="14.5">
      <c r="B18" s="31" t="str">
        <f>'Input BoM- Manufacturing'!AF8</f>
        <v>Polypropylene (PP)</v>
      </c>
      <c r="C18" s="61">
        <f>'Input BoM- Manufacturing'!AG8</f>
        <v>58</v>
      </c>
      <c r="D18" s="208" t="str">
        <f>'Input BoM- Manufacturing'!AH8</f>
        <v>kg</v>
      </c>
      <c r="E18" s="59">
        <f>'Input BoM- Manufacturing'!AI8</f>
        <v>4.317403602798868E-2</v>
      </c>
      <c r="F18" s="208" t="str">
        <f>'Input BoM- Manufacturing'!AJ8</f>
        <v>1-BlkPlastics</v>
      </c>
      <c r="G18" s="169"/>
      <c r="H18" s="62" t="str">
        <f t="shared" ref="H18:H40" si="0">IF(G18="Yes", "Default","")</f>
        <v/>
      </c>
      <c r="I18" s="33"/>
      <c r="J18" s="31" t="str">
        <f t="shared" ref="J18:J38" si="1">IF(I18="Stakeholder input","High quality",IF(I18="Previous study","Medium quality",IF(I18="Literature","Medium quality",IF(I18="Googling","Fair quality",IF(I18="Scientific literature","High quality",IF(I18="Expert judgement","Medium quality",""))))))</f>
        <v/>
      </c>
      <c r="K18" s="31"/>
      <c r="L18" s="36"/>
      <c r="M18" s="35"/>
      <c r="N18" s="39"/>
      <c r="O18" s="31" t="s">
        <v>470</v>
      </c>
      <c r="P18" s="31" t="s">
        <v>471</v>
      </c>
    </row>
    <row r="19" spans="2:16" customFormat="1" ht="14.5">
      <c r="B19" s="31" t="str">
        <f>'Input BoM- Manufacturing'!AF9</f>
        <v>Polyamide (PA)</v>
      </c>
      <c r="C19" s="61">
        <f>'Input BoM- Manufacturing'!AG9</f>
        <v>18.66</v>
      </c>
      <c r="D19" s="208" t="str">
        <f>'Input BoM- Manufacturing'!AH9</f>
        <v>kg</v>
      </c>
      <c r="E19" s="59">
        <f>'Input BoM- Manufacturing'!AI9</f>
        <v>1.3890129522108084E-2</v>
      </c>
      <c r="F19" s="208" t="str">
        <f>'Input BoM- Manufacturing'!AJ9</f>
        <v>2-TecPlastics</v>
      </c>
      <c r="G19" s="169"/>
      <c r="H19" s="62" t="str">
        <f t="shared" si="0"/>
        <v/>
      </c>
      <c r="I19" s="33"/>
      <c r="J19" s="31" t="str">
        <f t="shared" si="1"/>
        <v/>
      </c>
      <c r="K19" s="31" t="s">
        <v>472</v>
      </c>
      <c r="L19" s="36"/>
      <c r="M19" s="35"/>
      <c r="N19" s="39"/>
      <c r="O19" s="31" t="s">
        <v>473</v>
      </c>
      <c r="P19" s="31" t="s">
        <v>474</v>
      </c>
    </row>
    <row r="20" spans="2:16" customFormat="1" ht="14.5">
      <c r="B20" s="31" t="str">
        <f>'Input BoM- Manufacturing'!AF10</f>
        <v>Ethylene Propylene Dien M-class rubber (EPDM)</v>
      </c>
      <c r="C20" s="61">
        <f>'Input BoM- Manufacturing'!AG10</f>
        <v>12</v>
      </c>
      <c r="D20" s="208" t="str">
        <f>'Input BoM- Manufacturing'!AH10</f>
        <v>kg</v>
      </c>
      <c r="E20" s="59">
        <f>'Input BoM- Manufacturing'!AI10</f>
        <v>8.9325591782045549E-3</v>
      </c>
      <c r="F20" s="208" t="str">
        <f>'Input BoM- Manufacturing'!AJ10</f>
        <v>1-BlkPlastics</v>
      </c>
      <c r="G20" s="169"/>
      <c r="H20" s="62" t="str">
        <f t="shared" si="0"/>
        <v/>
      </c>
      <c r="I20" s="33"/>
      <c r="J20" s="31" t="str">
        <f t="shared" si="1"/>
        <v/>
      </c>
      <c r="K20" s="31"/>
      <c r="L20" s="36"/>
      <c r="M20" s="35"/>
      <c r="N20" s="39"/>
      <c r="O20" s="31" t="s">
        <v>485</v>
      </c>
      <c r="P20" s="31" t="s">
        <v>486</v>
      </c>
    </row>
    <row r="21" spans="2:16" customFormat="1" ht="14.5">
      <c r="B21" s="31" t="str">
        <f>'Input BoM- Manufacturing'!AF11</f>
        <v>Acrylonitrile Butadiene Styrene (ABS)</v>
      </c>
      <c r="C21" s="61">
        <f>'Input BoM- Manufacturing'!AG11</f>
        <v>0</v>
      </c>
      <c r="D21" s="208" t="str">
        <f>'Input BoM- Manufacturing'!AH11</f>
        <v>kg</v>
      </c>
      <c r="E21" s="59">
        <f>'Input BoM- Manufacturing'!AI11</f>
        <v>0</v>
      </c>
      <c r="F21" s="208" t="str">
        <f>'Input BoM- Manufacturing'!AJ11</f>
        <v>1-BlkPlastics</v>
      </c>
      <c r="G21" s="169"/>
      <c r="H21" s="62" t="str">
        <f t="shared" si="0"/>
        <v/>
      </c>
      <c r="I21" s="33"/>
      <c r="J21" s="31" t="str">
        <f t="shared" si="1"/>
        <v/>
      </c>
      <c r="K21" s="31"/>
      <c r="L21" s="36"/>
      <c r="M21" s="35"/>
      <c r="N21" s="39"/>
      <c r="O21" s="31" t="s">
        <v>476</v>
      </c>
      <c r="P21" s="31" t="s">
        <v>477</v>
      </c>
    </row>
    <row r="22" spans="2:16" customFormat="1" ht="14.5">
      <c r="B22" s="31" t="str">
        <f>'Input BoM- Manufacturing'!AF12</f>
        <v>Pumps (copper)</v>
      </c>
      <c r="C22" s="61">
        <f>'Input BoM- Manufacturing'!AG12</f>
        <v>39.020000000000003</v>
      </c>
      <c r="D22" s="208" t="str">
        <f>'Input BoM- Manufacturing'!AH12</f>
        <v>kg</v>
      </c>
      <c r="E22" s="59">
        <f>'Input BoM- Manufacturing'!AI12</f>
        <v>2.9045704927795148E-2</v>
      </c>
      <c r="F22" s="208" t="str">
        <f>'Input BoM- Manufacturing'!AJ12</f>
        <v>4-Non-ferrous</v>
      </c>
      <c r="G22" s="169"/>
      <c r="H22" s="62" t="str">
        <f t="shared" si="0"/>
        <v/>
      </c>
      <c r="I22" s="33"/>
      <c r="J22" s="31" t="str">
        <f t="shared" si="1"/>
        <v/>
      </c>
      <c r="K22" s="31"/>
      <c r="L22" s="36"/>
      <c r="M22" s="35"/>
      <c r="N22" s="39"/>
      <c r="O22" s="31" t="s">
        <v>491</v>
      </c>
      <c r="P22" s="31" t="s">
        <v>492</v>
      </c>
    </row>
    <row r="23" spans="2:16" customFormat="1" ht="14.5">
      <c r="B23" s="31" t="str">
        <f>'Input BoM- Manufacturing'!AF13</f>
        <v>Pumps (stack of sheets)</v>
      </c>
      <c r="C23" s="61">
        <f>'Input BoM- Manufacturing'!AG13</f>
        <v>37.07</v>
      </c>
      <c r="D23" s="208" t="str">
        <f>'Input BoM- Manufacturing'!AH13</f>
        <v>kg</v>
      </c>
      <c r="E23" s="59">
        <f>'Input BoM- Manufacturing'!AI13</f>
        <v>2.7594164061336905E-2</v>
      </c>
      <c r="F23" s="208" t="str">
        <f>'Input BoM- Manufacturing'!AJ13</f>
        <v>3-Ferrous</v>
      </c>
      <c r="G23" s="169"/>
      <c r="H23" s="62" t="str">
        <f t="shared" si="0"/>
        <v/>
      </c>
      <c r="I23" s="33"/>
      <c r="J23" s="31" t="str">
        <f t="shared" si="1"/>
        <v/>
      </c>
      <c r="K23" s="31" t="s">
        <v>602</v>
      </c>
      <c r="L23" s="36"/>
      <c r="M23" s="35"/>
      <c r="N23" s="39"/>
      <c r="O23" s="31" t="s">
        <v>468</v>
      </c>
      <c r="P23" s="31" t="s">
        <v>469</v>
      </c>
    </row>
    <row r="24" spans="2:16" customFormat="1" ht="14.5">
      <c r="B24" s="31" t="str">
        <f>'Input BoM- Manufacturing'!AF14</f>
        <v>Pumps (stainless steel wave)</v>
      </c>
      <c r="C24" s="61">
        <f>'Input BoM- Manufacturing'!AG14</f>
        <v>25.37</v>
      </c>
      <c r="D24" s="208" t="str">
        <f>'Input BoM- Manufacturing'!AH14</f>
        <v>kg</v>
      </c>
      <c r="E24" s="59">
        <f>'Input BoM- Manufacturing'!AI14</f>
        <v>1.8884918862587464E-2</v>
      </c>
      <c r="F24" s="208" t="str">
        <f>'Input BoM- Manufacturing'!AJ14</f>
        <v>3-Ferrous</v>
      </c>
      <c r="G24" s="169"/>
      <c r="H24" s="62" t="str">
        <f t="shared" si="0"/>
        <v/>
      </c>
      <c r="I24" s="33"/>
      <c r="J24" s="31" t="str">
        <f t="shared" si="1"/>
        <v/>
      </c>
      <c r="K24" s="31"/>
      <c r="L24" s="36"/>
      <c r="M24" s="35"/>
      <c r="N24" s="39"/>
      <c r="O24" s="31" t="s">
        <v>468</v>
      </c>
      <c r="P24" s="31" t="s">
        <v>469</v>
      </c>
    </row>
    <row r="25" spans="2:16" customFormat="1" ht="14.5">
      <c r="B25" s="31" t="str">
        <f>'Input BoM- Manufacturing'!AF15</f>
        <v>Pumps (Al)</v>
      </c>
      <c r="C25" s="61">
        <f>'Input BoM- Manufacturing'!AG15</f>
        <v>44.88</v>
      </c>
      <c r="D25" s="208" t="str">
        <f>'Input BoM- Manufacturing'!AH15</f>
        <v>kg</v>
      </c>
      <c r="E25" s="59">
        <f>'Input BoM- Manufacturing'!AI15</f>
        <v>3.3407771326485036E-2</v>
      </c>
      <c r="F25" s="208" t="str">
        <f>'Input BoM- Manufacturing'!AJ15</f>
        <v>4-Non-ferrous</v>
      </c>
      <c r="G25" s="169"/>
      <c r="H25" s="62" t="str">
        <f t="shared" si="0"/>
        <v/>
      </c>
      <c r="I25" s="33"/>
      <c r="J25" s="31" t="str">
        <f t="shared" si="1"/>
        <v/>
      </c>
      <c r="K25" s="31"/>
      <c r="L25" s="36"/>
      <c r="M25" s="35"/>
      <c r="N25" s="39"/>
      <c r="O25" s="31" t="s">
        <v>489</v>
      </c>
      <c r="P25" s="31" t="s">
        <v>490</v>
      </c>
    </row>
    <row r="26" spans="2:16" customFormat="1" ht="14.5">
      <c r="B26" s="31" t="str">
        <f>'Input BoM- Manufacturing'!AF16</f>
        <v>Condenser (AL)</v>
      </c>
      <c r="C26" s="61">
        <f>'Input BoM- Manufacturing'!AG16</f>
        <v>4.72</v>
      </c>
      <c r="D26" s="208" t="str">
        <f>'Input BoM- Manufacturing'!AH16</f>
        <v>kg</v>
      </c>
      <c r="E26" s="59">
        <f>'Input BoM- Manufacturing'!AI16</f>
        <v>3.5134732767604583E-3</v>
      </c>
      <c r="F26" s="208" t="str">
        <f>'Input BoM- Manufacturing'!AJ16</f>
        <v>4-Non-ferrous</v>
      </c>
      <c r="G26" s="169"/>
      <c r="H26" s="62" t="str">
        <f t="shared" si="0"/>
        <v/>
      </c>
      <c r="I26" s="33"/>
      <c r="J26" s="31" t="str">
        <f t="shared" si="1"/>
        <v/>
      </c>
      <c r="K26" s="31"/>
      <c r="L26" s="36"/>
      <c r="M26" s="35"/>
      <c r="N26" s="39"/>
      <c r="O26" s="31" t="s">
        <v>489</v>
      </c>
      <c r="P26" s="31" t="s">
        <v>490</v>
      </c>
    </row>
    <row r="27" spans="2:16" customFormat="1" ht="14.5">
      <c r="B27" s="31" t="str">
        <f>'Input BoM- Manufacturing'!AF17</f>
        <v>Condenser (Cu)</v>
      </c>
      <c r="C27" s="61">
        <f>'Input BoM- Manufacturing'!AG17</f>
        <v>7.08</v>
      </c>
      <c r="D27" s="208" t="str">
        <f>'Input BoM- Manufacturing'!AH17</f>
        <v>kg</v>
      </c>
      <c r="E27" s="59">
        <f>'Input BoM- Manufacturing'!AI17</f>
        <v>5.2702099151406877E-3</v>
      </c>
      <c r="F27" s="208" t="str">
        <f>'Input BoM- Manufacturing'!AJ17</f>
        <v>4-Non-ferrous</v>
      </c>
      <c r="G27" s="169"/>
      <c r="H27" s="62" t="str">
        <f t="shared" si="0"/>
        <v/>
      </c>
      <c r="I27" s="33"/>
      <c r="J27" s="31" t="str">
        <f t="shared" si="1"/>
        <v/>
      </c>
      <c r="K27" s="31"/>
      <c r="L27" s="36"/>
      <c r="M27" s="35"/>
      <c r="N27" s="39"/>
      <c r="O27" s="31" t="s">
        <v>491</v>
      </c>
      <c r="P27" s="31" t="s">
        <v>492</v>
      </c>
    </row>
    <row r="28" spans="2:16" customFormat="1" ht="14.5">
      <c r="B28" s="31" t="str">
        <f>'Input BoM- Manufacturing'!AF18</f>
        <v>Ventilator, fan (AL)</v>
      </c>
      <c r="C28" s="61">
        <f>'Input BoM- Manufacturing'!AG18</f>
        <v>17.440000000000001</v>
      </c>
      <c r="D28" s="208" t="str">
        <f>'Input BoM- Manufacturing'!AH18</f>
        <v>kg</v>
      </c>
      <c r="E28" s="59">
        <f>'Input BoM- Manufacturing'!AI18</f>
        <v>1.2981986005657288E-2</v>
      </c>
      <c r="F28" s="208" t="str">
        <f>'Input BoM- Manufacturing'!AJ18</f>
        <v>4-Non-ferrous</v>
      </c>
      <c r="G28" s="169"/>
      <c r="H28" s="62" t="str">
        <f t="shared" si="0"/>
        <v/>
      </c>
      <c r="I28" s="33"/>
      <c r="J28" s="31" t="str">
        <f t="shared" si="1"/>
        <v/>
      </c>
      <c r="K28" s="31"/>
      <c r="L28" s="36"/>
      <c r="M28" s="35"/>
      <c r="N28" s="39"/>
      <c r="O28" s="31" t="s">
        <v>489</v>
      </c>
      <c r="P28" s="31" t="s">
        <v>490</v>
      </c>
    </row>
    <row r="29" spans="2:16" customFormat="1" ht="14.5">
      <c r="B29" s="31" t="str">
        <f>'Input BoM- Manufacturing'!AF19</f>
        <v>Ventilator, fan (Cu)</v>
      </c>
      <c r="C29" s="61">
        <f>'Input BoM- Manufacturing'!AG19</f>
        <v>10.16</v>
      </c>
      <c r="D29" s="208" t="str">
        <f>'Input BoM- Manufacturing'!AH19</f>
        <v>kg</v>
      </c>
      <c r="E29" s="59">
        <f>'Input BoM- Manufacturing'!AI19</f>
        <v>7.5629001042131902E-3</v>
      </c>
      <c r="F29" s="208" t="str">
        <f>'Input BoM- Manufacturing'!AJ19</f>
        <v>4-Non-ferrous</v>
      </c>
      <c r="G29" s="169"/>
      <c r="H29" s="62" t="str">
        <f t="shared" si="0"/>
        <v/>
      </c>
      <c r="I29" s="33"/>
      <c r="J29" s="31" t="str">
        <f t="shared" si="1"/>
        <v/>
      </c>
      <c r="K29" s="31"/>
      <c r="L29" s="36"/>
      <c r="M29" s="35"/>
      <c r="N29" s="39"/>
      <c r="O29" s="31" t="s">
        <v>491</v>
      </c>
      <c r="P29" s="31" t="s">
        <v>492</v>
      </c>
    </row>
    <row r="30" spans="2:16" customFormat="1" ht="14.5">
      <c r="B30" s="31" t="str">
        <f>'Input BoM- Manufacturing'!AF20</f>
        <v>Drive motor (AL)</v>
      </c>
      <c r="C30" s="61">
        <f>'Input BoM- Manufacturing'!AG20</f>
        <v>4</v>
      </c>
      <c r="D30" s="208" t="str">
        <f>'Input BoM- Manufacturing'!AH20</f>
        <v>kg</v>
      </c>
      <c r="E30" s="59">
        <f>'Input BoM- Manufacturing'!AI20</f>
        <v>2.9775197260681848E-3</v>
      </c>
      <c r="F30" s="208" t="str">
        <f>'Input BoM- Manufacturing'!AJ20</f>
        <v>4-Non-ferrous</v>
      </c>
      <c r="G30" s="169"/>
      <c r="H30" s="62" t="str">
        <f t="shared" si="0"/>
        <v/>
      </c>
      <c r="I30" s="33"/>
      <c r="J30" s="31" t="str">
        <f t="shared" si="1"/>
        <v/>
      </c>
      <c r="K30" s="31"/>
      <c r="L30" s="36"/>
      <c r="M30" s="35"/>
      <c r="N30" s="39"/>
      <c r="O30" s="31" t="s">
        <v>489</v>
      </c>
      <c r="P30" s="31" t="s">
        <v>490</v>
      </c>
    </row>
    <row r="31" spans="2:16" customFormat="1" ht="14.5">
      <c r="B31" s="31" t="str">
        <f>'Input BoM- Manufacturing'!AF21</f>
        <v>Drive motor (Cu)</v>
      </c>
      <c r="C31" s="61">
        <f>'Input BoM- Manufacturing'!AG21</f>
        <v>5</v>
      </c>
      <c r="D31" s="208" t="str">
        <f>'Input BoM- Manufacturing'!AH21</f>
        <v>kg</v>
      </c>
      <c r="E31" s="59">
        <f>'Input BoM- Manufacturing'!AI21</f>
        <v>3.7218996575852314E-3</v>
      </c>
      <c r="F31" s="208" t="str">
        <f>'Input BoM- Manufacturing'!AJ21</f>
        <v>4-Non-ferrous</v>
      </c>
      <c r="G31" s="169"/>
      <c r="H31" s="62" t="str">
        <f t="shared" si="0"/>
        <v/>
      </c>
      <c r="I31" s="33"/>
      <c r="J31" s="31" t="str">
        <f t="shared" si="1"/>
        <v/>
      </c>
      <c r="K31" s="31"/>
      <c r="L31" s="36"/>
      <c r="M31" s="35"/>
      <c r="N31" s="39"/>
      <c r="O31" s="31" t="s">
        <v>491</v>
      </c>
      <c r="P31" s="31" t="s">
        <v>492</v>
      </c>
    </row>
    <row r="32" spans="2:16" customFormat="1" ht="14.5">
      <c r="B32" s="31" t="str">
        <f>'Input BoM- Manufacturing'!AF22</f>
        <v>Cable (copper)</v>
      </c>
      <c r="C32" s="61">
        <f>'Input BoM- Manufacturing'!AG22</f>
        <v>19.8</v>
      </c>
      <c r="D32" s="208" t="str">
        <f>'Input BoM- Manufacturing'!AH22</f>
        <v>kg</v>
      </c>
      <c r="E32" s="59">
        <f>'Input BoM- Manufacturing'!AI22</f>
        <v>1.4738722644037517E-2</v>
      </c>
      <c r="F32" s="208" t="str">
        <f>'Input BoM- Manufacturing'!AJ22</f>
        <v>4-Non-ferrous</v>
      </c>
      <c r="G32" s="169"/>
      <c r="H32" s="62" t="str">
        <f t="shared" si="0"/>
        <v/>
      </c>
      <c r="I32" s="33"/>
      <c r="J32" s="31" t="str">
        <f t="shared" si="1"/>
        <v/>
      </c>
      <c r="K32" s="31"/>
      <c r="L32" s="36"/>
      <c r="M32" s="35"/>
      <c r="N32" s="39"/>
      <c r="O32" s="31" t="s">
        <v>491</v>
      </c>
      <c r="P32" s="31" t="s">
        <v>492</v>
      </c>
    </row>
    <row r="33" spans="2:16" customFormat="1" ht="14.5">
      <c r="B33" s="31" t="str">
        <f>'Input BoM- Manufacturing'!AF23</f>
        <v>Cable sheath (PVC)</v>
      </c>
      <c r="C33" s="61">
        <f>'Input BoM- Manufacturing'!AG23</f>
        <v>11.44</v>
      </c>
      <c r="D33" s="208" t="str">
        <f>'Input BoM- Manufacturing'!AH23</f>
        <v>kg</v>
      </c>
      <c r="E33" s="59">
        <f>'Input BoM- Manufacturing'!AI23</f>
        <v>8.5157064165550089E-3</v>
      </c>
      <c r="F33" s="208" t="str">
        <f>'Input BoM- Manufacturing'!AJ23</f>
        <v>1-BlkPlastics</v>
      </c>
      <c r="G33" s="169"/>
      <c r="H33" s="62" t="str">
        <f t="shared" si="0"/>
        <v/>
      </c>
      <c r="I33" s="33"/>
      <c r="J33" s="31" t="str">
        <f t="shared" si="1"/>
        <v/>
      </c>
      <c r="K33" s="31"/>
      <c r="L33" s="36"/>
      <c r="M33" s="35"/>
      <c r="N33" s="39"/>
      <c r="O33" s="31" t="s">
        <v>483</v>
      </c>
      <c r="P33" s="31" t="s">
        <v>484</v>
      </c>
    </row>
    <row r="34" spans="2:16" customFormat="1" ht="14.5">
      <c r="B34" s="31" t="str">
        <f>'Input BoM- Manufacturing'!AF24</f>
        <v>Cable sheath (silicone, EDPM)</v>
      </c>
      <c r="C34" s="61">
        <f>'Input BoM- Manufacturing'!AG24</f>
        <v>8.36</v>
      </c>
      <c r="D34" s="208" t="str">
        <f>'Input BoM- Manufacturing'!AH24</f>
        <v>kg</v>
      </c>
      <c r="E34" s="59">
        <f>'Input BoM- Manufacturing'!AI24</f>
        <v>6.2230162274825064E-3</v>
      </c>
      <c r="F34" s="208" t="str">
        <f>'Input BoM- Manufacturing'!AJ24</f>
        <v>1-BlkPlastics</v>
      </c>
      <c r="G34" s="169"/>
      <c r="H34" s="62" t="str">
        <f t="shared" si="0"/>
        <v/>
      </c>
      <c r="I34" s="33"/>
      <c r="J34" s="31" t="str">
        <f t="shared" si="1"/>
        <v/>
      </c>
      <c r="K34" s="31"/>
      <c r="L34" s="36"/>
      <c r="M34" s="35"/>
      <c r="N34" s="39"/>
      <c r="O34" s="31" t="s">
        <v>485</v>
      </c>
      <c r="P34" s="31" t="s">
        <v>486</v>
      </c>
    </row>
    <row r="35" spans="2:16" customFormat="1" ht="14.5">
      <c r="B35" s="31" t="str">
        <f>'Input BoM- Manufacturing'!AF25</f>
        <v>Electric contactor (copper)</v>
      </c>
      <c r="C35" s="61">
        <f>'Input BoM- Manufacturing'!AG25</f>
        <v>10</v>
      </c>
      <c r="D35" s="208" t="str">
        <f>'Input BoM- Manufacturing'!AH25</f>
        <v>kg</v>
      </c>
      <c r="E35" s="59">
        <f>'Input BoM- Manufacturing'!AI25</f>
        <v>7.4437993151704627E-3</v>
      </c>
      <c r="F35" s="208" t="str">
        <f>'Input BoM- Manufacturing'!AJ25</f>
        <v>4-Non-ferrous</v>
      </c>
      <c r="G35" s="169"/>
      <c r="H35" s="62" t="str">
        <f t="shared" si="0"/>
        <v/>
      </c>
      <c r="I35" s="33"/>
      <c r="J35" s="31" t="str">
        <f t="shared" si="1"/>
        <v/>
      </c>
      <c r="K35" s="31"/>
      <c r="L35" s="36"/>
      <c r="M35" s="35"/>
      <c r="N35" s="39"/>
      <c r="O35" s="31" t="s">
        <v>491</v>
      </c>
      <c r="P35" s="31" t="s">
        <v>492</v>
      </c>
    </row>
    <row r="36" spans="2:16" customFormat="1" ht="14.5">
      <c r="B36" s="31" t="str">
        <f>'Input BoM- Manufacturing'!AF27</f>
        <v>Gaskets, etc. (EDPM)</v>
      </c>
      <c r="C36" s="61">
        <f>'Input BoM- Manufacturing'!AG27</f>
        <v>15</v>
      </c>
      <c r="D36" s="208" t="str">
        <f>'Input BoM- Manufacturing'!AH27</f>
        <v>kg</v>
      </c>
      <c r="E36" s="59">
        <f>'Input BoM- Manufacturing'!AI27</f>
        <v>1.1165698972755694E-2</v>
      </c>
      <c r="F36" s="208" t="str">
        <f>'Input BoM- Manufacturing'!AJ27</f>
        <v>1-BlkPlastics</v>
      </c>
      <c r="G36" s="169"/>
      <c r="H36" s="62" t="str">
        <f>IF(G36="Yes", "Default","")</f>
        <v/>
      </c>
      <c r="I36" s="33"/>
      <c r="J36" s="31" t="str">
        <f>IF(I36="Stakeholder input","High quality",IF(I36="Previous study","Medium quality",IF(I36="Literature","Medium quality",IF(I36="Googling","Fair quality",IF(I36="Scientific literature","High quality",IF(I36="Expert judgement","Medium quality",""))))))</f>
        <v/>
      </c>
      <c r="K36" s="63"/>
      <c r="L36" s="36"/>
      <c r="M36" s="35"/>
      <c r="N36" s="39"/>
      <c r="O36" s="31" t="s">
        <v>485</v>
      </c>
      <c r="P36" s="31" t="s">
        <v>486</v>
      </c>
    </row>
    <row r="37" spans="2:16" customFormat="1" ht="14.5">
      <c r="B37" s="31" t="str">
        <f>'Input BoM- Manufacturing'!AF26</f>
        <v>Electronics (control)</v>
      </c>
      <c r="C37" s="61">
        <f>'Input BoM- Manufacturing'!AG26/3.08</f>
        <v>5</v>
      </c>
      <c r="D37" s="208" t="s">
        <v>493</v>
      </c>
      <c r="E37" s="59">
        <f>'Input BoM- Manufacturing'!AI26</f>
        <v>1.1463450945362512E-2</v>
      </c>
      <c r="F37" s="208" t="str">
        <f>'Input BoM- Manufacturing'!AJ26</f>
        <v>6-Electronics</v>
      </c>
      <c r="G37" s="169"/>
      <c r="H37" s="62" t="str">
        <f t="shared" si="0"/>
        <v/>
      </c>
      <c r="I37" s="33"/>
      <c r="J37" s="31" t="str">
        <f t="shared" si="1"/>
        <v/>
      </c>
      <c r="K37" s="31"/>
      <c r="L37" s="36"/>
      <c r="M37" s="35"/>
      <c r="N37" s="39"/>
      <c r="O37" s="31" t="s">
        <v>494</v>
      </c>
      <c r="P37" s="31" t="s">
        <v>495</v>
      </c>
    </row>
    <row r="38" spans="2:16" customFormat="1" ht="14.5">
      <c r="B38" s="31">
        <f>'Input BoM- Manufacturing'!AF28</f>
        <v>0</v>
      </c>
      <c r="C38" s="61">
        <f>'Input BoM- Manufacturing'!AG28</f>
        <v>0</v>
      </c>
      <c r="D38" s="208">
        <f>'Input BoM- Manufacturing'!AH28</f>
        <v>0</v>
      </c>
      <c r="E38" s="59">
        <f>'Input BoM- Manufacturing'!AI28</f>
        <v>0</v>
      </c>
      <c r="F38" s="208">
        <f>'Input BoM- Manufacturing'!AJ28</f>
        <v>0</v>
      </c>
      <c r="G38" s="169"/>
      <c r="H38" s="62" t="str">
        <f t="shared" si="0"/>
        <v/>
      </c>
      <c r="I38" s="33"/>
      <c r="J38" s="31" t="str">
        <f t="shared" si="1"/>
        <v/>
      </c>
      <c r="K38" s="31"/>
      <c r="L38" s="36"/>
      <c r="M38" s="35"/>
      <c r="N38" s="39"/>
      <c r="O38" s="31"/>
      <c r="P38" s="3"/>
    </row>
    <row r="39" spans="2:16" customFormat="1" ht="14.5">
      <c r="B39" s="31">
        <f>'Input BoM- Manufacturing'!AF29</f>
        <v>0</v>
      </c>
      <c r="C39" s="61">
        <f>'Input BoM- Manufacturing'!AG29</f>
        <v>0</v>
      </c>
      <c r="D39" s="208">
        <f>'Input BoM- Manufacturing'!AH29</f>
        <v>0</v>
      </c>
      <c r="E39" s="59">
        <f>'Input BoM- Manufacturing'!AI29</f>
        <v>0</v>
      </c>
      <c r="F39" s="208">
        <f>'Input BoM- Manufacturing'!AJ29</f>
        <v>0</v>
      </c>
      <c r="G39" s="170"/>
      <c r="H39" s="62"/>
      <c r="I39" s="33"/>
      <c r="J39" s="31"/>
      <c r="K39" s="31"/>
      <c r="L39" s="31"/>
      <c r="M39" s="64"/>
      <c r="N39" s="65"/>
      <c r="O39" s="31"/>
      <c r="P39" s="31"/>
    </row>
    <row r="40" spans="2:16" customFormat="1" ht="14.5">
      <c r="B40" s="31">
        <f>'Input BoM- Manufacturing'!AF30</f>
        <v>0</v>
      </c>
      <c r="C40" s="61">
        <f>'Input BoM- Manufacturing'!AG30</f>
        <v>0</v>
      </c>
      <c r="D40" s="208">
        <f>'Input BoM- Manufacturing'!AH30</f>
        <v>0</v>
      </c>
      <c r="E40" s="59">
        <f>'Input BoM- Manufacturing'!AI30</f>
        <v>0</v>
      </c>
      <c r="F40" s="208">
        <f>'Input BoM- Manufacturing'!AJ30</f>
        <v>0</v>
      </c>
      <c r="G40" s="170"/>
      <c r="H40" s="62" t="str">
        <f t="shared" si="0"/>
        <v/>
      </c>
      <c r="I40" s="33"/>
      <c r="J40" s="31" t="str">
        <f t="shared" ref="J40:J41" si="2">IF(I40="Stakeholder input", "High quality",IF(I40="Previous study", "Medium quality", IF(I40="Literature","Low quality",IF(I40="Googling","Low quality",""))))</f>
        <v/>
      </c>
      <c r="K40" s="22"/>
      <c r="L40" s="22"/>
      <c r="M40" s="66"/>
      <c r="N40" s="67"/>
      <c r="O40" s="31"/>
      <c r="P40" s="31"/>
    </row>
    <row r="41" spans="2:16" customFormat="1" ht="15" thickBot="1">
      <c r="B41" s="68">
        <f>'Input BoM- Manufacturing'!AF31</f>
        <v>0</v>
      </c>
      <c r="C41" s="69">
        <f>'Input BoM- Manufacturing'!AG31</f>
        <v>0</v>
      </c>
      <c r="D41" s="209">
        <f>'Input BoM- Manufacturing'!AH31</f>
        <v>0</v>
      </c>
      <c r="E41" s="59">
        <f>'Input BoM- Manufacturing'!AI31</f>
        <v>0</v>
      </c>
      <c r="F41" s="209">
        <f>'Input BoM- Manufacturing'!AJ31</f>
        <v>0</v>
      </c>
      <c r="G41" s="168"/>
      <c r="H41" s="70" t="str">
        <f>IF(G41="Yes", "Default","")</f>
        <v/>
      </c>
      <c r="I41" s="48"/>
      <c r="J41" s="68" t="str">
        <f t="shared" si="2"/>
        <v/>
      </c>
      <c r="K41" s="71"/>
      <c r="L41" s="71"/>
      <c r="M41" s="72"/>
      <c r="N41" s="73"/>
      <c r="O41" s="68"/>
      <c r="P41" s="68"/>
    </row>
    <row r="42" spans="2:16" customFormat="1" ht="14.5" thickBot="1">
      <c r="B42" s="74" t="s">
        <v>353</v>
      </c>
      <c r="C42" s="75">
        <f>SUM(C17:C36)+(C37*3.08)</f>
        <v>1343.4</v>
      </c>
      <c r="D42" s="211" t="s">
        <v>309</v>
      </c>
      <c r="E42" s="76">
        <f>SUM(E17:E41)</f>
        <v>0.99999999999999978</v>
      </c>
      <c r="F42" s="76"/>
      <c r="G42" s="171"/>
      <c r="H42" s="76"/>
      <c r="I42" s="76"/>
      <c r="J42" s="76"/>
      <c r="K42" s="76"/>
      <c r="L42" s="76"/>
      <c r="M42" s="76"/>
      <c r="N42" s="76"/>
      <c r="O42" s="76"/>
      <c r="P42" s="76"/>
    </row>
    <row r="43" spans="2:16" customFormat="1">
      <c r="B43" s="5"/>
      <c r="C43" s="7"/>
      <c r="D43" s="8"/>
      <c r="E43" s="8"/>
      <c r="F43" s="8"/>
      <c r="G43" s="172"/>
      <c r="H43" s="5"/>
      <c r="I43" s="4"/>
      <c r="J43" s="4"/>
      <c r="K43" s="5"/>
      <c r="L43" s="5"/>
      <c r="M43" s="5"/>
      <c r="N43" s="5"/>
      <c r="O43" s="4"/>
      <c r="P43" s="4"/>
    </row>
    <row r="44" spans="2:16" customFormat="1" ht="15" thickBot="1">
      <c r="B44" s="13" t="s">
        <v>601</v>
      </c>
      <c r="C44" s="8"/>
      <c r="D44" s="79" t="s">
        <v>454</v>
      </c>
      <c r="E44" s="8"/>
      <c r="F44" s="8"/>
      <c r="G44" s="172"/>
      <c r="H44" s="5"/>
      <c r="I44" s="4"/>
      <c r="J44" s="4"/>
      <c r="K44" s="5"/>
      <c r="L44" s="5"/>
      <c r="M44" s="5"/>
      <c r="N44" s="5"/>
      <c r="O44" s="4"/>
      <c r="P44" s="4"/>
    </row>
    <row r="45" spans="2:16" customFormat="1" ht="28.5" thickBot="1">
      <c r="B45" s="57" t="s">
        <v>355</v>
      </c>
      <c r="C45" s="57" t="s">
        <v>305</v>
      </c>
      <c r="D45" s="57" t="s">
        <v>7</v>
      </c>
      <c r="E45" s="57" t="s">
        <v>306</v>
      </c>
      <c r="F45" s="57" t="s">
        <v>307</v>
      </c>
      <c r="G45" s="58" t="s">
        <v>456</v>
      </c>
      <c r="H45" s="58" t="s">
        <v>457</v>
      </c>
      <c r="I45" s="57" t="s">
        <v>458</v>
      </c>
      <c r="J45" s="57" t="s">
        <v>459</v>
      </c>
      <c r="K45" s="57" t="s">
        <v>460</v>
      </c>
      <c r="L45" s="57" t="s">
        <v>461</v>
      </c>
      <c r="M45" s="17" t="s">
        <v>462</v>
      </c>
      <c r="N45" s="40" t="s">
        <v>463</v>
      </c>
      <c r="O45" s="57" t="s">
        <v>464</v>
      </c>
      <c r="P45" s="57" t="s">
        <v>465</v>
      </c>
    </row>
    <row r="46" spans="2:16" customFormat="1">
      <c r="B46" s="206" t="str">
        <f>'Input BoM- Manufacturing'!AF36</f>
        <v>EPS</v>
      </c>
      <c r="C46" s="202">
        <f>'Input BoM- Manufacturing'!AG36</f>
        <v>5.29</v>
      </c>
      <c r="D46" s="203" t="str">
        <f>'Input BoM- Manufacturing'!AH36</f>
        <v>kg</v>
      </c>
      <c r="E46" s="210">
        <f>'Input BoM- Manufacturing'!AI36</f>
        <v>2.2168210199891045E-2</v>
      </c>
      <c r="F46" s="203" t="str">
        <f>'Input BoM- Manufacturing'!AJ36</f>
        <v>1-BlkPlastics</v>
      </c>
      <c r="G46" s="169" t="s">
        <v>466</v>
      </c>
      <c r="H46" s="62" t="str">
        <f t="shared" ref="H46:H55" si="3">IF(G46="Yes", "Default","")</f>
        <v>Default</v>
      </c>
      <c r="I46" s="32" t="s">
        <v>467</v>
      </c>
      <c r="J46" s="31" t="str">
        <f>IF(I46="Stakeholder input","High quality",IF(I46="Previous study","Medium quality",IF(I46="Literature","Medium quality",IF(I46="Googling","Fair quality",IF(I46="Scientific literature","High quality",IF(I46="Expert judgement","Medium quality",""))))))</f>
        <v>Medium quality</v>
      </c>
      <c r="K46" s="22"/>
      <c r="L46" s="31" t="s">
        <v>496</v>
      </c>
      <c r="M46" s="35"/>
      <c r="N46" s="39"/>
      <c r="O46" s="31" t="s">
        <v>479</v>
      </c>
      <c r="P46" s="31" t="s">
        <v>480</v>
      </c>
    </row>
    <row r="47" spans="2:16" customFormat="1">
      <c r="B47" s="206" t="str">
        <f>'Input BoM- Manufacturing'!AF37</f>
        <v>PE-Foil</v>
      </c>
      <c r="C47" s="202">
        <f>'Input BoM- Manufacturing'!AG37</f>
        <v>4.0750000000000002</v>
      </c>
      <c r="D47" s="203" t="str">
        <f>'Input BoM- Manufacturing'!AH37</f>
        <v>kg</v>
      </c>
      <c r="E47" s="210">
        <f>'Input BoM- Manufacturing'!AI37</f>
        <v>1.7076645853413234E-2</v>
      </c>
      <c r="F47" s="203" t="str">
        <f>'Input BoM- Manufacturing'!AJ37</f>
        <v>1-BlkPlastics</v>
      </c>
      <c r="G47" s="169"/>
      <c r="H47" s="62" t="str">
        <f t="shared" si="3"/>
        <v/>
      </c>
      <c r="I47" s="32"/>
      <c r="J47" s="31" t="str">
        <f t="shared" ref="J47:J48" si="4">IF(I47="Stakeholder input","High quality",IF(I47="Previous study","Medium quality",IF(I47="Literature","Medium quality",IF(I47="Googling","Fair quality",IF(I47="Scientific literature","High quality",IF(I47="Expert judgement","Medium quality",""))))))</f>
        <v/>
      </c>
      <c r="K47" s="22"/>
      <c r="L47" s="31"/>
      <c r="M47" s="35"/>
      <c r="N47" s="39"/>
      <c r="O47" s="31" t="s">
        <v>487</v>
      </c>
      <c r="P47" s="31" t="s">
        <v>488</v>
      </c>
    </row>
    <row r="48" spans="2:16" customFormat="1">
      <c r="B48" s="206" t="str">
        <f>'Input BoM- Manufacturing'!AF38</f>
        <v>PP (pastic strips)</v>
      </c>
      <c r="C48" s="202">
        <f>'Input BoM- Manufacturing'!AG38</f>
        <v>0</v>
      </c>
      <c r="D48" s="203" t="str">
        <f>'Input BoM- Manufacturing'!AH38</f>
        <v>kg</v>
      </c>
      <c r="E48" s="210">
        <f>'Input BoM- Manufacturing'!AI38</f>
        <v>0</v>
      </c>
      <c r="F48" s="203" t="str">
        <f>'Input BoM- Manufacturing'!AJ38</f>
        <v>1-BlkPlastics</v>
      </c>
      <c r="G48" s="169"/>
      <c r="H48" s="62" t="str">
        <f t="shared" si="3"/>
        <v/>
      </c>
      <c r="I48" s="32"/>
      <c r="J48" s="31" t="str">
        <f t="shared" si="4"/>
        <v/>
      </c>
      <c r="K48" s="173"/>
      <c r="L48" s="31"/>
      <c r="M48" s="35"/>
      <c r="N48" s="39"/>
      <c r="O48" s="31" t="s">
        <v>470</v>
      </c>
      <c r="P48" s="31" t="s">
        <v>471</v>
      </c>
    </row>
    <row r="49" spans="2:16" customFormat="1">
      <c r="B49" s="206" t="str">
        <f>'Input BoM- Manufacturing'!AF39</f>
        <v>Wood</v>
      </c>
      <c r="C49" s="202">
        <f>'Input BoM- Manufacturing'!AG39</f>
        <v>197.5</v>
      </c>
      <c r="D49" s="203" t="str">
        <f>'Input BoM- Manufacturing'!AH39</f>
        <v>kg</v>
      </c>
      <c r="E49" s="210">
        <f>'Input BoM- Manufacturing'!AI39</f>
        <v>0.82764111804886231</v>
      </c>
      <c r="F49" s="203" t="str">
        <f>'Input BoM- Manufacturing'!AJ39</f>
        <v>7-Misc.</v>
      </c>
      <c r="G49" s="169"/>
      <c r="H49" s="62" t="str">
        <f t="shared" si="3"/>
        <v/>
      </c>
      <c r="I49" s="175"/>
      <c r="J49" s="31" t="str">
        <f t="shared" ref="J49:J55" si="5">IF(I49="Stakeholder input", "High quality",IF(I49="Previous study", "Medium quality", IF(I49="Literature","Low quality",IF(I49="Googling","Low quality",""))))</f>
        <v/>
      </c>
      <c r="K49" s="31" t="s">
        <v>497</v>
      </c>
      <c r="L49" s="173"/>
      <c r="M49" s="35"/>
      <c r="N49" s="39"/>
      <c r="O49" s="31" t="s">
        <v>498</v>
      </c>
      <c r="P49" s="31" t="s">
        <v>482</v>
      </c>
    </row>
    <row r="50" spans="2:16" customFormat="1">
      <c r="B50" s="206" t="str">
        <f>'Input BoM- Manufacturing'!AF40</f>
        <v>Cardboard</v>
      </c>
      <c r="C50" s="202">
        <f>'Input BoM- Manufacturing'!AG40</f>
        <v>16.765000000000001</v>
      </c>
      <c r="D50" s="203" t="str">
        <f>'Input BoM- Manufacturing'!AH40</f>
        <v>kg</v>
      </c>
      <c r="E50" s="210">
        <f>'Input BoM- Manufacturing'!AI40</f>
        <v>7.0255206805514822E-2</v>
      </c>
      <c r="F50" s="203" t="str">
        <f>'Input BoM- Manufacturing'!AJ40</f>
        <v>7-Misc.</v>
      </c>
      <c r="G50" s="169"/>
      <c r="H50" s="62" t="str">
        <f t="shared" si="3"/>
        <v/>
      </c>
      <c r="I50" s="175"/>
      <c r="J50" s="31" t="str">
        <f t="shared" si="5"/>
        <v/>
      </c>
      <c r="K50" s="31"/>
      <c r="L50" s="173"/>
      <c r="M50" s="35"/>
      <c r="N50" s="39"/>
      <c r="O50" s="31" t="s">
        <v>499</v>
      </c>
      <c r="P50" s="31" t="s">
        <v>500</v>
      </c>
    </row>
    <row r="51" spans="2:16" customFormat="1">
      <c r="B51" s="206" t="str">
        <f>'Input BoM- Manufacturing'!AF41</f>
        <v>Cast iron</v>
      </c>
      <c r="C51" s="202">
        <f>'Input BoM- Manufacturing'!AG41</f>
        <v>15</v>
      </c>
      <c r="D51" s="203" t="str">
        <f>'Input BoM- Manufacturing'!AH41</f>
        <v>kg</v>
      </c>
      <c r="E51" s="210">
        <f>'Input BoM- Manufacturing'!AI41</f>
        <v>6.2858819092318649E-2</v>
      </c>
      <c r="F51" s="203" t="str">
        <f>'Input BoM- Manufacturing'!AJ41</f>
        <v>3-Ferro</v>
      </c>
      <c r="G51" s="169"/>
      <c r="H51" s="62" t="str">
        <f t="shared" si="3"/>
        <v/>
      </c>
      <c r="I51" s="175"/>
      <c r="J51" s="31" t="str">
        <f t="shared" si="5"/>
        <v/>
      </c>
      <c r="K51" s="173"/>
      <c r="L51" s="173"/>
      <c r="M51" s="35"/>
      <c r="N51" s="39"/>
      <c r="O51" s="459" t="s">
        <v>610</v>
      </c>
      <c r="P51" s="3" t="s">
        <v>480</v>
      </c>
    </row>
    <row r="52" spans="2:16" customFormat="1">
      <c r="B52" s="206">
        <f>'Input BoM- Manufacturing'!AF42</f>
        <v>0</v>
      </c>
      <c r="C52" s="202">
        <f>'Input BoM- Manufacturing'!AG42</f>
        <v>0</v>
      </c>
      <c r="D52" s="203">
        <f>'Input BoM- Manufacturing'!AH42</f>
        <v>0</v>
      </c>
      <c r="E52" s="210">
        <f>'Input BoM- Manufacturing'!AI42</f>
        <v>0</v>
      </c>
      <c r="F52" s="203">
        <f>'Input BoM- Manufacturing'!AJ42</f>
        <v>0</v>
      </c>
      <c r="G52" s="169"/>
      <c r="H52" s="62" t="str">
        <f t="shared" si="3"/>
        <v/>
      </c>
      <c r="I52" s="175"/>
      <c r="J52" s="31" t="str">
        <f t="shared" si="5"/>
        <v/>
      </c>
      <c r="K52" s="173"/>
      <c r="L52" s="173"/>
      <c r="M52" s="35"/>
      <c r="N52" s="39"/>
      <c r="O52" s="31"/>
      <c r="P52" s="31"/>
    </row>
    <row r="53" spans="2:16" customFormat="1">
      <c r="B53" s="206">
        <f>'Input BoM- Manufacturing'!AF43</f>
        <v>0</v>
      </c>
      <c r="C53" s="202">
        <f>'Input BoM- Manufacturing'!AG43</f>
        <v>0</v>
      </c>
      <c r="D53" s="203">
        <f>'Input BoM- Manufacturing'!AH43</f>
        <v>0</v>
      </c>
      <c r="E53" s="210">
        <f>'Input BoM- Manufacturing'!AI43</f>
        <v>0</v>
      </c>
      <c r="F53" s="203">
        <f>'Input BoM- Manufacturing'!AJ43</f>
        <v>0</v>
      </c>
      <c r="G53" s="169"/>
      <c r="H53" s="62" t="str">
        <f t="shared" si="3"/>
        <v/>
      </c>
      <c r="I53" s="33"/>
      <c r="J53" s="31" t="str">
        <f t="shared" si="5"/>
        <v/>
      </c>
      <c r="K53" s="31"/>
      <c r="L53" s="31"/>
      <c r="M53" s="35"/>
      <c r="N53" s="39"/>
      <c r="O53" s="31"/>
      <c r="P53" s="31"/>
    </row>
    <row r="54" spans="2:16" customFormat="1">
      <c r="B54" s="206">
        <f>'Input BoM- Manufacturing'!AF44</f>
        <v>0</v>
      </c>
      <c r="C54" s="202">
        <f>'Input BoM- Manufacturing'!AG44</f>
        <v>0</v>
      </c>
      <c r="D54" s="203">
        <f>'Input BoM- Manufacturing'!AH44</f>
        <v>0</v>
      </c>
      <c r="E54" s="210">
        <f>'Input BoM- Manufacturing'!AI44</f>
        <v>0</v>
      </c>
      <c r="F54" s="203">
        <f>'Input BoM- Manufacturing'!AJ44</f>
        <v>0</v>
      </c>
      <c r="G54" s="169"/>
      <c r="H54" s="62" t="str">
        <f t="shared" si="3"/>
        <v/>
      </c>
      <c r="I54" s="33"/>
      <c r="J54" s="31" t="str">
        <f t="shared" si="5"/>
        <v/>
      </c>
      <c r="K54" s="22"/>
      <c r="L54" s="22"/>
      <c r="M54" s="35"/>
      <c r="N54" s="39"/>
      <c r="O54" s="31"/>
      <c r="P54" s="31"/>
    </row>
    <row r="55" spans="2:16" customFormat="1" ht="14.5" thickBot="1">
      <c r="B55" s="207">
        <f>'Input BoM- Manufacturing'!AF45</f>
        <v>0</v>
      </c>
      <c r="C55" s="204">
        <f>'Input BoM- Manufacturing'!AG45</f>
        <v>0</v>
      </c>
      <c r="D55" s="205">
        <f>'Input BoM- Manufacturing'!AH45</f>
        <v>0</v>
      </c>
      <c r="E55" s="210">
        <f>'Input BoM- Manufacturing'!AI45</f>
        <v>0</v>
      </c>
      <c r="F55" s="205">
        <f>'Input BoM- Manufacturing'!AJ45</f>
        <v>0</v>
      </c>
      <c r="G55" s="176"/>
      <c r="H55" s="70" t="str">
        <f t="shared" si="3"/>
        <v/>
      </c>
      <c r="I55" s="48"/>
      <c r="J55" s="68" t="str">
        <f t="shared" si="5"/>
        <v/>
      </c>
      <c r="K55" s="68"/>
      <c r="L55" s="68"/>
      <c r="M55" s="49"/>
      <c r="N55" s="50"/>
      <c r="O55" s="68"/>
      <c r="P55" s="68"/>
    </row>
    <row r="56" spans="2:16" customFormat="1" ht="14.5" thickBot="1">
      <c r="B56" s="74" t="s">
        <v>363</v>
      </c>
      <c r="C56" s="174">
        <f>SUM(C46:C51)</f>
        <v>238.63</v>
      </c>
      <c r="D56" s="212" t="s">
        <v>309</v>
      </c>
      <c r="E56" s="76">
        <f>SUM(E46:E55)</f>
        <v>1</v>
      </c>
      <c r="F56" s="174"/>
      <c r="G56" s="132"/>
      <c r="H56" s="19"/>
      <c r="I56" s="96"/>
      <c r="J56" s="96"/>
      <c r="K56" s="19"/>
      <c r="L56" s="19"/>
      <c r="M56" s="19"/>
      <c r="N56" s="19"/>
      <c r="O56" s="96"/>
      <c r="P56" s="96"/>
    </row>
    <row r="57" spans="2:16" customFormat="1" ht="14.5" thickBot="1">
      <c r="G57" s="3"/>
    </row>
    <row r="58" spans="2:16" customFormat="1" ht="14.5" thickBot="1">
      <c r="B58" s="55" t="s">
        <v>364</v>
      </c>
      <c r="C58" s="56">
        <f>C42+C56</f>
        <v>1582.0300000000002</v>
      </c>
      <c r="D58" s="77" t="s">
        <v>309</v>
      </c>
      <c r="G58" s="3"/>
    </row>
    <row r="59" spans="2:16" customFormat="1">
      <c r="G59" s="3"/>
    </row>
    <row r="61" spans="2:16" s="99" customFormat="1" ht="21">
      <c r="B61" s="54" t="s">
        <v>501</v>
      </c>
      <c r="C61" s="54"/>
      <c r="D61" s="54"/>
    </row>
    <row r="62" spans="2:16" ht="14.5" thickBot="1">
      <c r="B62" s="100"/>
    </row>
    <row r="63" spans="2:16" s="4" customFormat="1" ht="14.5" thickBot="1">
      <c r="B63" s="101" t="str">
        <f>'Input BoM- Manufacturing'!AF55</f>
        <v>Energy used in manufacturing</v>
      </c>
      <c r="C63" s="18" t="str">
        <f>'Input BoM- Manufacturing'!AG55</f>
        <v>Value</v>
      </c>
      <c r="D63" s="18" t="str">
        <f>'Input BoM- Manufacturing'!AH55</f>
        <v>Unit</v>
      </c>
      <c r="E63" s="18" t="s">
        <v>458</v>
      </c>
      <c r="F63" s="18" t="s">
        <v>459</v>
      </c>
      <c r="G63" s="18" t="s">
        <v>502</v>
      </c>
      <c r="H63" s="18" t="s">
        <v>503</v>
      </c>
      <c r="I63" s="18" t="s">
        <v>461</v>
      </c>
      <c r="J63" s="17" t="s">
        <v>462</v>
      </c>
      <c r="K63" s="102" t="s">
        <v>463</v>
      </c>
    </row>
    <row r="64" spans="2:16">
      <c r="B64" s="78" t="str">
        <f>'Input BoM- Manufacturing'!AF56</f>
        <v>Electricity</v>
      </c>
      <c r="C64" s="78">
        <f>'Input BoM- Manufacturing'!AG56</f>
        <v>300</v>
      </c>
      <c r="D64" s="78" t="str">
        <f>'Input BoM- Manufacturing'!AH56</f>
        <v>kWh</v>
      </c>
      <c r="E64" s="78"/>
      <c r="F64" s="78" t="str">
        <f>IF(E64="Stakeholder input","High quality",IF(E64="Previous study","Medium quality",IF(E64="Literature","Medium quality",IF(E64="Googling","Fair quality",IF(E64="Scientific literature","High quality",IF(E64="Expert judgement","Medium quality",""))))))</f>
        <v/>
      </c>
      <c r="G64" s="78"/>
      <c r="H64" s="78"/>
      <c r="I64" s="82"/>
      <c r="J64" s="103"/>
      <c r="K64" s="104"/>
    </row>
    <row r="65" spans="2:11" ht="14.5" thickBot="1">
      <c r="B65" s="21" t="str">
        <f>'Input BoM- Manufacturing'!AF57</f>
        <v>Heat</v>
      </c>
      <c r="C65" s="159">
        <f>'Input BoM- Manufacturing'!AG57</f>
        <v>0</v>
      </c>
      <c r="D65" s="21">
        <f>'Input BoM- Manufacturing'!AH57</f>
        <v>0</v>
      </c>
      <c r="E65" s="21"/>
      <c r="F65" s="21"/>
      <c r="G65" s="21"/>
      <c r="H65" s="21"/>
      <c r="I65" s="38"/>
      <c r="J65" s="105"/>
      <c r="K65" s="106"/>
    </row>
    <row r="66" spans="2:11" ht="14.5" thickBot="1"/>
    <row r="67" spans="2:11" s="4" customFormat="1" ht="14.5" thickBot="1">
      <c r="B67" s="101" t="str">
        <f>'Input BoM- Manufacturing'!AF59</f>
        <v>Additional materials used in manufacturing</v>
      </c>
      <c r="C67" s="18" t="str">
        <f>'Input BoM- Manufacturing'!AG59</f>
        <v>Value</v>
      </c>
      <c r="D67" s="18" t="str">
        <f>'Input BoM- Manufacturing'!AH59</f>
        <v>Unit</v>
      </c>
      <c r="E67" s="18" t="s">
        <v>458</v>
      </c>
      <c r="F67" s="18" t="s">
        <v>459</v>
      </c>
      <c r="G67" s="18" t="s">
        <v>460</v>
      </c>
      <c r="H67" s="18" t="s">
        <v>503</v>
      </c>
      <c r="I67" s="18" t="s">
        <v>461</v>
      </c>
      <c r="J67" s="17" t="s">
        <v>462</v>
      </c>
      <c r="K67" s="102" t="s">
        <v>463</v>
      </c>
    </row>
    <row r="68" spans="2:11" ht="14.5">
      <c r="B68" s="107" t="str">
        <f>'Input BoM- Manufacturing'!AF60</f>
        <v>n.a.</v>
      </c>
      <c r="C68" s="78">
        <f>'Input BoM- Manufacturing'!AG60</f>
        <v>0</v>
      </c>
      <c r="D68" s="78">
        <f>'Input BoM- Manufacturing'!AH60</f>
        <v>0</v>
      </c>
      <c r="E68" s="78"/>
      <c r="F68" s="78" t="str">
        <f>IF(E68="Stakeholder input", "High quality",IF(E68="Previous study", "Medium quality", IF(E68="Literature","Low quality",IF(E68="Googling","Low quality",""))))</f>
        <v/>
      </c>
      <c r="G68" s="78"/>
      <c r="H68" s="78"/>
      <c r="J68" s="103"/>
      <c r="K68" s="104"/>
    </row>
    <row r="69" spans="2:11">
      <c r="B69" s="22">
        <f>'Input BoM- Manufacturing'!AF61</f>
        <v>0</v>
      </c>
      <c r="C69" s="22">
        <f>'Input BoM- Manufacturing'!AG61</f>
        <v>0</v>
      </c>
      <c r="D69" s="22">
        <f>'Input BoM- Manufacturing'!AH61</f>
        <v>0</v>
      </c>
      <c r="E69" s="22"/>
      <c r="F69" s="22"/>
      <c r="G69" s="22"/>
      <c r="H69" s="22"/>
      <c r="I69" s="22"/>
      <c r="J69" s="108"/>
      <c r="K69" s="109"/>
    </row>
    <row r="70" spans="2:11">
      <c r="B70" s="22">
        <f>'Input BoM- Manufacturing'!AF62</f>
        <v>0</v>
      </c>
      <c r="C70" s="22">
        <f>'Input BoM- Manufacturing'!AG62</f>
        <v>0</v>
      </c>
      <c r="D70" s="22">
        <f>'Input BoM- Manufacturing'!AH62</f>
        <v>0</v>
      </c>
      <c r="E70" s="22"/>
      <c r="F70" s="22" t="str">
        <f>IF(E70="Stakeholder input", "High quality",IF(E70="Previous study", "Medium quality", IF(E70="Literature","Low quality",IF(E70="Googling","Low quality",""))))</f>
        <v/>
      </c>
      <c r="G70" s="22"/>
      <c r="H70" s="22"/>
      <c r="I70" s="22"/>
      <c r="J70" s="108"/>
      <c r="K70" s="109"/>
    </row>
    <row r="71" spans="2:11" ht="14.5" thickBot="1">
      <c r="B71" s="21">
        <f>'Input BoM- Manufacturing'!AF63</f>
        <v>0</v>
      </c>
      <c r="C71" s="21">
        <f>'Input BoM- Manufacturing'!AG63</f>
        <v>0</v>
      </c>
      <c r="D71" s="21">
        <f>'Input BoM- Manufacturing'!AH63</f>
        <v>0</v>
      </c>
      <c r="E71" s="21"/>
      <c r="F71" s="21"/>
      <c r="G71" s="21"/>
      <c r="H71" s="21"/>
      <c r="I71" s="38"/>
      <c r="J71" s="105"/>
      <c r="K71" s="106"/>
    </row>
    <row r="72" spans="2:11" ht="14.5" thickBot="1"/>
    <row r="73" spans="2:11" ht="14.5" thickBot="1">
      <c r="B73" s="498" t="s">
        <v>505</v>
      </c>
      <c r="C73" s="499" t="s">
        <v>305</v>
      </c>
      <c r="D73" s="500" t="s">
        <v>7</v>
      </c>
      <c r="E73" s="500" t="s">
        <v>506</v>
      </c>
      <c r="F73" s="501" t="s">
        <v>507</v>
      </c>
      <c r="G73" s="500" t="s">
        <v>508</v>
      </c>
      <c r="H73" s="502" t="s">
        <v>509</v>
      </c>
    </row>
    <row r="74" spans="2:11">
      <c r="B74" s="490" t="str">
        <f>B17</f>
        <v>Stainless steel</v>
      </c>
      <c r="C74" s="506">
        <f t="shared" ref="C74:D74" si="6">C17</f>
        <v>980</v>
      </c>
      <c r="D74" s="506" t="str">
        <f t="shared" si="6"/>
        <v>kg</v>
      </c>
      <c r="E74" s="707">
        <f>SUM(C74:C76)</f>
        <v>1042.44</v>
      </c>
      <c r="F74" s="708" t="s">
        <v>510</v>
      </c>
      <c r="G74" s="708" t="s">
        <v>511</v>
      </c>
      <c r="H74" s="709" t="s">
        <v>512</v>
      </c>
    </row>
    <row r="75" spans="2:11">
      <c r="B75" s="490" t="str">
        <f>B23</f>
        <v>Pumps (stack of sheets)</v>
      </c>
      <c r="C75" s="506">
        <f t="shared" ref="C75:D75" si="7">C23</f>
        <v>37.07</v>
      </c>
      <c r="D75" s="506" t="str">
        <f t="shared" si="7"/>
        <v>kg</v>
      </c>
      <c r="E75" s="688"/>
      <c r="F75" s="689"/>
      <c r="G75" s="689"/>
      <c r="H75" s="690"/>
    </row>
    <row r="76" spans="2:11">
      <c r="B76" s="490" t="str">
        <f>B24</f>
        <v>Pumps (stainless steel wave)</v>
      </c>
      <c r="C76" s="506">
        <f t="shared" ref="C76:D76" si="8">C24</f>
        <v>25.37</v>
      </c>
      <c r="D76" s="506" t="str">
        <f t="shared" si="8"/>
        <v>kg</v>
      </c>
      <c r="E76" s="688"/>
      <c r="F76" s="689"/>
      <c r="G76" s="689"/>
      <c r="H76" s="690"/>
    </row>
    <row r="77" spans="2:11">
      <c r="B77" s="490" t="str">
        <f>B18</f>
        <v>Polypropylene (PP)</v>
      </c>
      <c r="C77" s="506">
        <f t="shared" ref="C77:D77" si="9">C18</f>
        <v>58</v>
      </c>
      <c r="D77" s="506" t="str">
        <f t="shared" si="9"/>
        <v>kg</v>
      </c>
      <c r="E77" s="687">
        <f>SUM(C77:C83)</f>
        <v>123.46</v>
      </c>
      <c r="F77" s="689" t="s">
        <v>513</v>
      </c>
      <c r="G77" s="484" t="s">
        <v>511</v>
      </c>
      <c r="H77" s="690" t="s">
        <v>514</v>
      </c>
    </row>
    <row r="78" spans="2:11">
      <c r="B78" s="490" t="str">
        <f t="shared" ref="B78:D80" si="10">B19</f>
        <v>Polyamide (PA)</v>
      </c>
      <c r="C78" s="506">
        <f t="shared" si="10"/>
        <v>18.66</v>
      </c>
      <c r="D78" s="506" t="str">
        <f t="shared" si="10"/>
        <v>kg</v>
      </c>
      <c r="E78" s="688"/>
      <c r="F78" s="689"/>
      <c r="G78" s="689" t="s">
        <v>515</v>
      </c>
      <c r="H78" s="690"/>
    </row>
    <row r="79" spans="2:11">
      <c r="B79" s="490" t="str">
        <f t="shared" si="10"/>
        <v>Ethylene Propylene Dien M-class rubber (EPDM)</v>
      </c>
      <c r="C79" s="506">
        <f t="shared" si="10"/>
        <v>12</v>
      </c>
      <c r="D79" s="506" t="str">
        <f t="shared" si="10"/>
        <v>kg</v>
      </c>
      <c r="E79" s="688"/>
      <c r="F79" s="689"/>
      <c r="G79" s="689"/>
      <c r="H79" s="690"/>
    </row>
    <row r="80" spans="2:11">
      <c r="B80" s="490" t="str">
        <f t="shared" si="10"/>
        <v>Acrylonitrile Butadiene Styrene (ABS)</v>
      </c>
      <c r="C80" s="506">
        <f t="shared" si="10"/>
        <v>0</v>
      </c>
      <c r="D80" s="506" t="str">
        <f t="shared" si="10"/>
        <v>kg</v>
      </c>
      <c r="E80" s="688"/>
      <c r="F80" s="689"/>
      <c r="G80" s="689"/>
      <c r="H80" s="690"/>
    </row>
    <row r="81" spans="2:8">
      <c r="B81" s="490" t="str">
        <f>B33</f>
        <v>Cable sheath (PVC)</v>
      </c>
      <c r="C81" s="506">
        <f t="shared" ref="C81:D81" si="11">C33</f>
        <v>11.44</v>
      </c>
      <c r="D81" s="506" t="str">
        <f t="shared" si="11"/>
        <v>kg</v>
      </c>
      <c r="E81" s="688"/>
      <c r="F81" s="689"/>
      <c r="G81" s="689"/>
      <c r="H81" s="690"/>
    </row>
    <row r="82" spans="2:8">
      <c r="B82" s="490" t="str">
        <f>B34</f>
        <v>Cable sheath (silicone, EDPM)</v>
      </c>
      <c r="C82" s="506">
        <f t="shared" ref="C82:D82" si="12">C34</f>
        <v>8.36</v>
      </c>
      <c r="D82" s="506" t="str">
        <f t="shared" si="12"/>
        <v>kg</v>
      </c>
      <c r="E82" s="688"/>
      <c r="F82" s="689"/>
      <c r="G82" s="689"/>
      <c r="H82" s="690"/>
    </row>
    <row r="83" spans="2:8">
      <c r="B83" s="490" t="str">
        <f>B36</f>
        <v>Gaskets, etc. (EDPM)</v>
      </c>
      <c r="C83" s="506">
        <f t="shared" ref="C83:D83" si="13">C36</f>
        <v>15</v>
      </c>
      <c r="D83" s="506" t="str">
        <f t="shared" si="13"/>
        <v>kg</v>
      </c>
      <c r="E83" s="688"/>
      <c r="F83" s="689"/>
      <c r="G83" s="689"/>
      <c r="H83" s="690"/>
    </row>
    <row r="84" spans="2:8">
      <c r="B84" s="490" t="str">
        <f>B27</f>
        <v>Condenser (Cu)</v>
      </c>
      <c r="C84" s="506">
        <f t="shared" ref="C84:D84" si="14">C27</f>
        <v>7.08</v>
      </c>
      <c r="D84" s="506" t="str">
        <f t="shared" si="14"/>
        <v>kg</v>
      </c>
      <c r="E84" s="687">
        <f>SUM(C84:C89)</f>
        <v>91.06</v>
      </c>
      <c r="F84" s="689" t="s">
        <v>520</v>
      </c>
      <c r="G84" s="689" t="s">
        <v>511</v>
      </c>
      <c r="H84" s="690" t="s">
        <v>521</v>
      </c>
    </row>
    <row r="85" spans="2:8">
      <c r="B85" s="490" t="str">
        <f>B29</f>
        <v>Ventilator, fan (Cu)</v>
      </c>
      <c r="C85" s="506">
        <f t="shared" ref="C85:D85" si="15">C29</f>
        <v>10.16</v>
      </c>
      <c r="D85" s="506" t="str">
        <f t="shared" si="15"/>
        <v>kg</v>
      </c>
      <c r="E85" s="688"/>
      <c r="F85" s="689"/>
      <c r="G85" s="689"/>
      <c r="H85" s="690"/>
    </row>
    <row r="86" spans="2:8">
      <c r="B86" s="490" t="str">
        <f>B31</f>
        <v>Drive motor (Cu)</v>
      </c>
      <c r="C86" s="506">
        <f t="shared" ref="C86:D86" si="16">C31</f>
        <v>5</v>
      </c>
      <c r="D86" s="506" t="str">
        <f t="shared" si="16"/>
        <v>kg</v>
      </c>
      <c r="E86" s="688"/>
      <c r="F86" s="689"/>
      <c r="G86" s="689"/>
      <c r="H86" s="690"/>
    </row>
    <row r="87" spans="2:8">
      <c r="B87" s="490" t="str">
        <f>B32</f>
        <v>Cable (copper)</v>
      </c>
      <c r="C87" s="506">
        <f t="shared" ref="C87:D87" si="17">C32</f>
        <v>19.8</v>
      </c>
      <c r="D87" s="506" t="str">
        <f t="shared" si="17"/>
        <v>kg</v>
      </c>
      <c r="E87" s="688"/>
      <c r="F87" s="689"/>
      <c r="G87" s="689"/>
      <c r="H87" s="690"/>
    </row>
    <row r="88" spans="2:8">
      <c r="B88" s="490" t="str">
        <f>B35</f>
        <v>Electric contactor (copper)</v>
      </c>
      <c r="C88" s="506">
        <f t="shared" ref="C88:D88" si="18">C35</f>
        <v>10</v>
      </c>
      <c r="D88" s="506" t="str">
        <f t="shared" si="18"/>
        <v>kg</v>
      </c>
      <c r="E88" s="688"/>
      <c r="F88" s="689"/>
      <c r="G88" s="689"/>
      <c r="H88" s="690"/>
    </row>
    <row r="89" spans="2:8">
      <c r="B89" s="490" t="str">
        <f>B22</f>
        <v>Pumps (copper)</v>
      </c>
      <c r="C89" s="506">
        <f t="shared" ref="C89:D89" si="19">C22</f>
        <v>39.020000000000003</v>
      </c>
      <c r="D89" s="506" t="str">
        <f t="shared" si="19"/>
        <v>kg</v>
      </c>
      <c r="E89" s="688"/>
      <c r="F89" s="689"/>
      <c r="G89" s="689"/>
      <c r="H89" s="690"/>
    </row>
    <row r="90" spans="2:8">
      <c r="B90" s="490" t="str">
        <f>B25</f>
        <v>Pumps (Al)</v>
      </c>
      <c r="C90" s="506">
        <f t="shared" ref="C90:D90" si="20">C25</f>
        <v>44.88</v>
      </c>
      <c r="D90" s="506" t="str">
        <f t="shared" si="20"/>
        <v>kg</v>
      </c>
      <c r="E90" s="687">
        <f>SUM(C90:C93)</f>
        <v>71.040000000000006</v>
      </c>
      <c r="F90" s="689" t="s">
        <v>518</v>
      </c>
      <c r="G90" s="689" t="s">
        <v>511</v>
      </c>
      <c r="H90" s="690" t="s">
        <v>519</v>
      </c>
    </row>
    <row r="91" spans="2:8">
      <c r="B91" s="490" t="str">
        <f>B26</f>
        <v>Condenser (AL)</v>
      </c>
      <c r="C91" s="506">
        <f t="shared" ref="C91:D91" si="21">C26</f>
        <v>4.72</v>
      </c>
      <c r="D91" s="506" t="str">
        <f t="shared" si="21"/>
        <v>kg</v>
      </c>
      <c r="E91" s="688"/>
      <c r="F91" s="689"/>
      <c r="G91" s="689"/>
      <c r="H91" s="690"/>
    </row>
    <row r="92" spans="2:8">
      <c r="B92" s="490" t="str">
        <f>B28</f>
        <v>Ventilator, fan (AL)</v>
      </c>
      <c r="C92" s="506">
        <f t="shared" ref="C92:D92" si="22">C28</f>
        <v>17.440000000000001</v>
      </c>
      <c r="D92" s="506" t="str">
        <f t="shared" si="22"/>
        <v>kg</v>
      </c>
      <c r="E92" s="688"/>
      <c r="F92" s="689"/>
      <c r="G92" s="689"/>
      <c r="H92" s="690"/>
    </row>
    <row r="93" spans="2:8">
      <c r="B93" s="490" t="str">
        <f>B30</f>
        <v>Drive motor (AL)</v>
      </c>
      <c r="C93" s="506">
        <f t="shared" ref="C93:D93" si="23">C30</f>
        <v>4</v>
      </c>
      <c r="D93" s="506" t="str">
        <f t="shared" si="23"/>
        <v>kg</v>
      </c>
      <c r="E93" s="688"/>
      <c r="F93" s="689"/>
      <c r="G93" s="689"/>
      <c r="H93" s="690"/>
    </row>
    <row r="94" spans="2:8" ht="42.5" thickBot="1">
      <c r="B94" s="492" t="str">
        <f>B37</f>
        <v>Electronics (control)</v>
      </c>
      <c r="C94" s="507">
        <f t="shared" ref="C94:D94" si="24">C37</f>
        <v>5</v>
      </c>
      <c r="D94" s="507" t="str">
        <f t="shared" si="24"/>
        <v>m2</v>
      </c>
      <c r="E94" s="493">
        <f>C94</f>
        <v>5</v>
      </c>
      <c r="F94" s="496" t="s">
        <v>522</v>
      </c>
      <c r="G94" s="496" t="s">
        <v>511</v>
      </c>
      <c r="H94" s="497" t="s">
        <v>523</v>
      </c>
    </row>
    <row r="97" spans="2:12" s="110" customFormat="1" ht="21">
      <c r="B97" s="52" t="s">
        <v>524</v>
      </c>
      <c r="D97" s="52"/>
      <c r="E97" s="52"/>
    </row>
    <row r="98" spans="2:12" s="4" customFormat="1" ht="21">
      <c r="B98" s="10"/>
      <c r="D98" s="10"/>
      <c r="E98" s="10"/>
    </row>
    <row r="99" spans="2:12" s="4" customFormat="1" ht="15" thickBot="1">
      <c r="B99" s="95" t="s">
        <v>373</v>
      </c>
      <c r="E99" s="13" t="s">
        <v>525</v>
      </c>
    </row>
    <row r="100" spans="2:12" s="4" customFormat="1" ht="16" customHeight="1" thickBot="1">
      <c r="B100" s="101" t="str">
        <f>'Input BoM- Manufacturing'!AF70</f>
        <v>Transport - lorry</v>
      </c>
      <c r="C100" s="18" t="str">
        <f>'Input BoM- Manufacturing'!AG70</f>
        <v>Value</v>
      </c>
      <c r="D100" s="18" t="str">
        <f>'Input BoM- Manufacturing'!AH70</f>
        <v>Unit</v>
      </c>
      <c r="E100" s="18" t="s">
        <v>458</v>
      </c>
      <c r="F100" s="18" t="s">
        <v>459</v>
      </c>
      <c r="G100" s="18" t="s">
        <v>526</v>
      </c>
      <c r="H100" s="18" t="s">
        <v>503</v>
      </c>
      <c r="I100" s="18" t="s">
        <v>461</v>
      </c>
      <c r="J100" s="17" t="s">
        <v>462</v>
      </c>
      <c r="K100" s="102" t="s">
        <v>463</v>
      </c>
    </row>
    <row r="101" spans="2:12" s="4" customFormat="1" ht="14.5">
      <c r="B101" s="94" t="str">
        <f>'Input BoM- Manufacturing'!AF71</f>
        <v>Weight of product (incl. packaging)</v>
      </c>
      <c r="C101" s="265">
        <f>'Input BoM- Manufacturing'!AG71</f>
        <v>1.5820300000000003</v>
      </c>
      <c r="D101" s="112" t="str">
        <f>'Input BoM- Manufacturing'!AH71</f>
        <v>ton</v>
      </c>
      <c r="E101" s="47"/>
      <c r="F101" s="47" t="str">
        <f>IF(E101="Stakeholder input","High quality",IF(E101="Previous study","Medium quality",IF(E101="Literature","Medium quality",IF(E101="Googling","Fair quality",IF(E101="Scientific literature","High quality",IF(E101="Expert judgement","Medium quality",""))))))</f>
        <v/>
      </c>
      <c r="G101" s="60" t="s">
        <v>527</v>
      </c>
      <c r="H101" s="82"/>
      <c r="I101" s="82"/>
      <c r="J101" s="103"/>
      <c r="K101" s="104"/>
    </row>
    <row r="102" spans="2:12" s="4" customFormat="1" ht="42.5" thickBot="1">
      <c r="B102" s="93" t="str">
        <f>'Input BoM- Manufacturing'!AF72</f>
        <v>Distance</v>
      </c>
      <c r="C102" s="113">
        <f>'Input BoM- Manufacturing'!AG72</f>
        <v>1330</v>
      </c>
      <c r="D102" s="113" t="str">
        <f>'Input BoM- Manufacturing'!AH72</f>
        <v>km</v>
      </c>
      <c r="E102" s="37"/>
      <c r="F102" s="37" t="str">
        <f t="shared" ref="F102" si="25">IF(E102="Stakeholder input","High quality",IF(E102="Previous study","Medium quality",IF(E102="Literature","Medium quality",IF(E102="Googling","Fair quality",IF(E102="Scientific literature","High quality",IF(E102="Expert judgement","Medium quality",""))))))</f>
        <v/>
      </c>
      <c r="G102" s="21" t="s">
        <v>529</v>
      </c>
      <c r="H102" s="21"/>
      <c r="I102" s="38"/>
      <c r="J102" s="105"/>
      <c r="K102" s="106"/>
    </row>
    <row r="103" spans="2:12" s="4" customFormat="1">
      <c r="B103" s="11"/>
      <c r="C103" s="114"/>
      <c r="D103" s="114"/>
      <c r="J103" s="115"/>
    </row>
    <row r="104" spans="2:12" s="4" customFormat="1" ht="14.5" thickBot="1">
      <c r="C104" s="114"/>
      <c r="D104" s="114"/>
    </row>
    <row r="105" spans="2:12" s="4" customFormat="1" ht="16" customHeight="1" thickBot="1">
      <c r="B105" s="101" t="str">
        <f>'Input BoM- Manufacturing'!AF75</f>
        <v>Transport - train</v>
      </c>
      <c r="C105" s="18" t="str">
        <f>'Input BoM- Manufacturing'!AG75</f>
        <v>Value</v>
      </c>
      <c r="D105" s="18" t="str">
        <f>'Input BoM- Manufacturing'!AH75</f>
        <v>Unit</v>
      </c>
      <c r="E105" s="18" t="s">
        <v>458</v>
      </c>
      <c r="F105" s="18" t="s">
        <v>459</v>
      </c>
      <c r="G105" s="18" t="s">
        <v>526</v>
      </c>
      <c r="H105" s="18" t="s">
        <v>503</v>
      </c>
      <c r="I105" s="18" t="s">
        <v>461</v>
      </c>
      <c r="J105" s="17" t="s">
        <v>462</v>
      </c>
      <c r="K105" s="102" t="s">
        <v>463</v>
      </c>
    </row>
    <row r="106" spans="2:12" s="4" customFormat="1" ht="14.5">
      <c r="B106" s="94" t="str">
        <f>'Input BoM- Manufacturing'!AF76</f>
        <v>Weight of product (incl. packaging)</v>
      </c>
      <c r="C106" s="266">
        <f>'Input BoM- Manufacturing'!AG76</f>
        <v>1.5820300000000003</v>
      </c>
      <c r="D106" s="112" t="str">
        <f>'Input BoM- Manufacturing'!AH76</f>
        <v>ton</v>
      </c>
      <c r="E106" s="47"/>
      <c r="F106" s="47" t="str">
        <f>IF(E106="Stakeholder input","High quality",IF(E106="Previous study","Medium quality",IF(E106="Literature","Medium quality",IF(E106="Googling","Fair quality",IF(E106="Scientific literature","High quality",IF(E106="Expert judgement","Medium quality",""))))))</f>
        <v/>
      </c>
      <c r="G106" s="60" t="s">
        <v>527</v>
      </c>
      <c r="H106" s="82"/>
      <c r="I106" s="82"/>
      <c r="J106" s="103"/>
      <c r="K106" s="104"/>
    </row>
    <row r="107" spans="2:12" s="4" customFormat="1" ht="42.5" thickBot="1">
      <c r="B107" s="93" t="str">
        <f>'Input BoM- Manufacturing'!AF77</f>
        <v>Distance</v>
      </c>
      <c r="C107" s="113">
        <f>'Input BoM- Manufacturing'!AG77</f>
        <v>240</v>
      </c>
      <c r="D107" s="113" t="str">
        <f>'Input BoM- Manufacturing'!AH77</f>
        <v>km</v>
      </c>
      <c r="E107" s="37"/>
      <c r="F107" s="37" t="str">
        <f t="shared" ref="F107" si="26">IF(E107="Stakeholder input","High quality",IF(E107="Previous study","Medium quality",IF(E107="Literature","Medium quality",IF(E107="Googling","Fair quality",IF(E107="Scientific literature","High quality",IF(E107="Expert judgement","Medium quality",""))))))</f>
        <v/>
      </c>
      <c r="G107" s="21" t="s">
        <v>531</v>
      </c>
      <c r="H107" s="21"/>
      <c r="I107" s="38"/>
      <c r="J107" s="105"/>
      <c r="K107" s="106"/>
      <c r="L107" s="12"/>
    </row>
    <row r="108" spans="2:12" s="4" customFormat="1">
      <c r="C108" s="114"/>
      <c r="D108" s="114"/>
    </row>
    <row r="109" spans="2:12" s="4" customFormat="1" ht="14.5" thickBot="1">
      <c r="C109" s="114"/>
      <c r="D109" s="114"/>
    </row>
    <row r="110" spans="2:12" s="4" customFormat="1" ht="16" customHeight="1" thickBot="1">
      <c r="B110" s="101" t="str">
        <f>'Input BoM- Manufacturing'!AF80</f>
        <v>Transport - ship</v>
      </c>
      <c r="C110" s="18" t="str">
        <f>'Input BoM- Manufacturing'!AG80</f>
        <v>Value</v>
      </c>
      <c r="D110" s="18" t="str">
        <f>'Input BoM- Manufacturing'!AH80</f>
        <v>Unit</v>
      </c>
      <c r="E110" s="18" t="s">
        <v>458</v>
      </c>
      <c r="F110" s="18" t="s">
        <v>459</v>
      </c>
      <c r="G110" s="18" t="s">
        <v>526</v>
      </c>
      <c r="H110" s="18" t="s">
        <v>503</v>
      </c>
      <c r="I110" s="18" t="s">
        <v>461</v>
      </c>
      <c r="J110" s="17" t="s">
        <v>462</v>
      </c>
      <c r="K110" s="102" t="s">
        <v>463</v>
      </c>
    </row>
    <row r="111" spans="2:12" s="4" customFormat="1" ht="14.5">
      <c r="B111" s="94" t="str">
        <f>'Input BoM- Manufacturing'!AF81</f>
        <v>Weight of product (incl. packaging)</v>
      </c>
      <c r="C111" s="266">
        <f>'Input BoM- Manufacturing'!AG81</f>
        <v>1.5820300000000003</v>
      </c>
      <c r="D111" s="112" t="str">
        <f>'Input BoM- Manufacturing'!AH81</f>
        <v>ton</v>
      </c>
      <c r="E111" s="47"/>
      <c r="F111" s="47" t="str">
        <f>IF(E111="Stakeholder input","High quality",IF(E111="Previous study","Medium quality",IF(E111="Literature","Medium quality",IF(E111="Googling","Fair quality",IF(E111="Scientific literature","High quality",IF(E111="Expert judgement","Medium quality",""))))))</f>
        <v/>
      </c>
      <c r="G111" s="60" t="s">
        <v>527</v>
      </c>
      <c r="H111" s="82"/>
      <c r="I111" s="82"/>
      <c r="J111" s="103"/>
      <c r="K111" s="104"/>
    </row>
    <row r="112" spans="2:12" s="4" customFormat="1" ht="42.5" thickBot="1">
      <c r="B112" s="93" t="str">
        <f>'Input BoM- Manufacturing'!AF82</f>
        <v>Distance</v>
      </c>
      <c r="C112" s="113">
        <f>'Input BoM- Manufacturing'!AG82</f>
        <v>270</v>
      </c>
      <c r="D112" s="113" t="str">
        <f>'Input BoM- Manufacturing'!AH82</f>
        <v>km</v>
      </c>
      <c r="E112" s="37"/>
      <c r="F112" s="37" t="str">
        <f t="shared" ref="F112" si="27">IF(E112="Stakeholder input","High quality",IF(E112="Previous study","Medium quality",IF(E112="Literature","Medium quality",IF(E112="Googling","Fair quality",IF(E112="Scientific literature","High quality",IF(E112="Expert judgement","Medium quality",""))))))</f>
        <v/>
      </c>
      <c r="G112" s="21" t="s">
        <v>532</v>
      </c>
      <c r="H112" s="21"/>
      <c r="I112" s="38"/>
      <c r="J112" s="105"/>
      <c r="K112" s="106"/>
      <c r="L112" s="12"/>
    </row>
    <row r="115" spans="2:11" ht="14.5" thickBot="1"/>
    <row r="116" spans="2:11" ht="14.5" thickBot="1">
      <c r="B116" s="116" t="s">
        <v>530</v>
      </c>
      <c r="C116" s="117" t="s">
        <v>377</v>
      </c>
      <c r="D116" s="117" t="s">
        <v>7</v>
      </c>
      <c r="E116" s="117" t="s">
        <v>533</v>
      </c>
      <c r="F116" s="118" t="s">
        <v>526</v>
      </c>
      <c r="G116" s="119"/>
    </row>
    <row r="117" spans="2:11" ht="14.5">
      <c r="B117" s="699" t="s">
        <v>534</v>
      </c>
      <c r="C117" s="30">
        <v>130</v>
      </c>
      <c r="D117" s="30" t="s">
        <v>378</v>
      </c>
      <c r="E117" s="30" t="s">
        <v>535</v>
      </c>
      <c r="F117" s="701" t="s">
        <v>536</v>
      </c>
      <c r="G117" s="702"/>
    </row>
    <row r="118" spans="2:11" ht="14.5">
      <c r="B118" s="700"/>
      <c r="C118" s="2">
        <v>240</v>
      </c>
      <c r="D118" s="2" t="s">
        <v>378</v>
      </c>
      <c r="E118" s="2" t="s">
        <v>537</v>
      </c>
      <c r="F118" s="703" t="s">
        <v>536</v>
      </c>
      <c r="G118" s="704"/>
    </row>
    <row r="119" spans="2:11" ht="14.5">
      <c r="B119" s="700"/>
      <c r="C119" s="2">
        <v>270</v>
      </c>
      <c r="D119" s="2" t="s">
        <v>378</v>
      </c>
      <c r="E119" s="2" t="s">
        <v>538</v>
      </c>
      <c r="F119" s="703" t="s">
        <v>536</v>
      </c>
      <c r="G119" s="704"/>
    </row>
    <row r="120" spans="2:11" ht="15" thickBot="1">
      <c r="B120" s="120" t="s">
        <v>539</v>
      </c>
      <c r="C120" s="92">
        <v>1200</v>
      </c>
      <c r="D120" s="92" t="s">
        <v>378</v>
      </c>
      <c r="E120" s="92" t="s">
        <v>535</v>
      </c>
      <c r="F120" s="691" t="s">
        <v>540</v>
      </c>
      <c r="G120" s="692"/>
    </row>
    <row r="123" spans="2:11" s="99" customFormat="1" ht="21">
      <c r="B123" s="54" t="s">
        <v>541</v>
      </c>
      <c r="D123" s="54"/>
      <c r="E123" s="54"/>
      <c r="F123" s="54"/>
      <c r="G123" s="54"/>
    </row>
    <row r="125" spans="2:11" ht="15" thickBot="1">
      <c r="E125" s="13" t="s">
        <v>525</v>
      </c>
    </row>
    <row r="126" spans="2:11" s="114" customFormat="1" ht="14.5" thickBot="1">
      <c r="B126" s="18" t="s">
        <v>382</v>
      </c>
      <c r="C126" s="18" t="s">
        <v>305</v>
      </c>
      <c r="D126" s="18" t="s">
        <v>7</v>
      </c>
      <c r="E126" s="18" t="s">
        <v>458</v>
      </c>
      <c r="F126" s="18" t="s">
        <v>459</v>
      </c>
      <c r="G126" s="18" t="s">
        <v>460</v>
      </c>
      <c r="H126" s="18" t="s">
        <v>503</v>
      </c>
      <c r="I126" s="18" t="s">
        <v>461</v>
      </c>
      <c r="J126" s="17" t="s">
        <v>462</v>
      </c>
      <c r="K126" s="102" t="s">
        <v>463</v>
      </c>
    </row>
    <row r="127" spans="2:11" s="114" customFormat="1" ht="14.5" thickBot="1">
      <c r="B127" s="121" t="s">
        <v>383</v>
      </c>
      <c r="C127" s="58"/>
      <c r="D127" s="58"/>
      <c r="E127" s="58"/>
      <c r="F127" s="58"/>
      <c r="G127" s="58"/>
      <c r="H127" s="58"/>
      <c r="I127" s="58"/>
      <c r="J127" s="58"/>
      <c r="K127" s="58"/>
    </row>
    <row r="128" spans="2:11">
      <c r="B128" s="78" t="s">
        <v>384</v>
      </c>
      <c r="C128" s="122">
        <f>'Input use - economics'!M7</f>
        <v>217596.49999999997</v>
      </c>
      <c r="D128" s="251" t="str">
        <f>'Input use - economics'!N7</f>
        <v>kWh</v>
      </c>
      <c r="E128" s="47"/>
      <c r="F128" s="47" t="str">
        <f>IF(E128="Stakeholder input","High quality",IF(E128="Previous study","Medium quality",IF(E128="Literature","Medium quality",IF(E128="Googling","Fair quality",IF(E128="Scientific literature","High quality",IF(E128="Expert judgement","Medium quality",""))))))</f>
        <v/>
      </c>
      <c r="G128" s="78"/>
      <c r="H128" s="82"/>
      <c r="I128" s="82" t="s">
        <v>133</v>
      </c>
      <c r="J128" s="103"/>
      <c r="K128" s="104"/>
    </row>
    <row r="129" spans="2:11">
      <c r="B129" s="22" t="s">
        <v>385</v>
      </c>
      <c r="C129" s="124">
        <f>'Input use - economics'!M8</f>
        <v>0.85</v>
      </c>
      <c r="D129" s="252" t="str">
        <f>'Input use - economics'!N8</f>
        <v>%</v>
      </c>
      <c r="E129" s="33"/>
      <c r="F129" s="33" t="str">
        <f t="shared" ref="F129:F143" si="28">IF(E129="Stakeholder input","High quality",IF(E129="Previous study","Medium quality",IF(E129="Literature","Medium quality",IF(E129="Googling","Fair quality",IF(E129="Scientific literature","High quality",IF(E129="Expert judgement","Medium quality",""))))))</f>
        <v/>
      </c>
      <c r="G129" s="22"/>
      <c r="H129" s="22"/>
      <c r="I129" s="34" t="s">
        <v>133</v>
      </c>
      <c r="J129" s="108"/>
      <c r="K129" s="109"/>
    </row>
    <row r="130" spans="2:11" s="4" customFormat="1">
      <c r="B130" s="33" t="s">
        <v>387</v>
      </c>
      <c r="C130" s="126">
        <f>'Input use - economics'!M9</f>
        <v>0.15</v>
      </c>
      <c r="D130" s="253" t="str">
        <f>'Input use - economics'!N9</f>
        <v>%</v>
      </c>
      <c r="E130" s="33"/>
      <c r="F130" s="33" t="str">
        <f t="shared" si="28"/>
        <v/>
      </c>
      <c r="G130" s="33"/>
      <c r="H130" s="33"/>
      <c r="I130" s="34" t="s">
        <v>133</v>
      </c>
      <c r="J130" s="108"/>
      <c r="K130" s="109"/>
    </row>
    <row r="131" spans="2:11" s="4" customFormat="1">
      <c r="B131" s="521" t="s">
        <v>395</v>
      </c>
      <c r="C131" s="536">
        <f>'Input use - economics'!$M$15</f>
        <v>3448.5275879999995</v>
      </c>
      <c r="D131" s="253" t="s">
        <v>396</v>
      </c>
      <c r="E131" s="48"/>
      <c r="F131" s="48" t="str">
        <f t="shared" si="28"/>
        <v/>
      </c>
      <c r="G131" s="48"/>
      <c r="H131" s="81"/>
      <c r="I131" s="535" t="s">
        <v>542</v>
      </c>
      <c r="J131" s="129"/>
      <c r="K131" s="135"/>
    </row>
    <row r="132" spans="2:11" s="4" customFormat="1" ht="14.5" thickBot="1">
      <c r="B132" s="48" t="s">
        <v>543</v>
      </c>
      <c r="C132" s="127">
        <f>'Input use - economics'!M10</f>
        <v>1229448</v>
      </c>
      <c r="D132" s="254" t="str">
        <f>'Input use - economics'!N10</f>
        <v>litres/year</v>
      </c>
      <c r="E132" s="48"/>
      <c r="F132" s="48" t="str">
        <f t="shared" si="28"/>
        <v/>
      </c>
      <c r="G132" s="48"/>
      <c r="H132" s="81"/>
      <c r="I132" s="81" t="s">
        <v>133</v>
      </c>
      <c r="J132" s="129"/>
      <c r="K132" s="109"/>
    </row>
    <row r="133" spans="2:11" s="4" customFormat="1" ht="14.5" thickBot="1">
      <c r="B133" s="86" t="s">
        <v>397</v>
      </c>
      <c r="C133" s="130"/>
      <c r="D133" s="255"/>
      <c r="E133" s="96"/>
      <c r="F133" s="96"/>
      <c r="G133" s="96"/>
      <c r="H133" s="97"/>
      <c r="I133" s="97"/>
      <c r="J133" s="131"/>
      <c r="K133" s="109"/>
    </row>
    <row r="134" spans="2:11">
      <c r="B134" s="78" t="s">
        <v>398</v>
      </c>
      <c r="C134" s="122">
        <f>'Input use - economics'!M17</f>
        <v>3600</v>
      </c>
      <c r="D134" s="251" t="str">
        <f>'Input use - economics'!N17</f>
        <v>dishes/hour</v>
      </c>
      <c r="E134" s="47"/>
      <c r="F134" s="47" t="str">
        <f t="shared" si="28"/>
        <v/>
      </c>
      <c r="G134" s="78"/>
      <c r="H134" s="78"/>
      <c r="I134" s="82" t="s">
        <v>133</v>
      </c>
      <c r="J134" s="103"/>
      <c r="K134" s="109"/>
    </row>
    <row r="135" spans="2:11">
      <c r="B135" s="22" t="s">
        <v>604</v>
      </c>
      <c r="C135" s="256">
        <f>'Input use - economics'!M18</f>
        <v>330</v>
      </c>
      <c r="D135" s="252" t="str">
        <f>'Input use - economics'!N18</f>
        <v>days/year</v>
      </c>
      <c r="E135" s="33"/>
      <c r="F135" s="33" t="str">
        <f t="shared" si="28"/>
        <v/>
      </c>
      <c r="G135" s="22"/>
      <c r="H135" s="22"/>
      <c r="I135" s="34" t="s">
        <v>133</v>
      </c>
      <c r="J135" s="108"/>
      <c r="K135" s="109"/>
    </row>
    <row r="136" spans="2:11">
      <c r="B136" s="22" t="s">
        <v>402</v>
      </c>
      <c r="C136" s="256" t="str">
        <f>'Input use - economics'!M19</f>
        <v>n.a.</v>
      </c>
      <c r="D136" s="252" t="str">
        <f>'Input use - economics'!N19</f>
        <v>unit</v>
      </c>
      <c r="E136" s="33"/>
      <c r="F136" s="33"/>
      <c r="G136" s="22"/>
      <c r="H136" s="22"/>
      <c r="I136" s="34" t="s">
        <v>133</v>
      </c>
      <c r="J136" s="108"/>
      <c r="K136" s="109"/>
    </row>
    <row r="137" spans="2:11" ht="14.5" thickBot="1">
      <c r="B137" s="80" t="s">
        <v>605</v>
      </c>
      <c r="C137" s="257">
        <f>'Input use - economics'!M21</f>
        <v>8</v>
      </c>
      <c r="D137" s="258" t="str">
        <f>'Input use - economics'!N21</f>
        <v>hours/day</v>
      </c>
      <c r="E137" s="48"/>
      <c r="F137" s="48"/>
      <c r="G137" s="80"/>
      <c r="H137" s="80"/>
      <c r="I137" s="81" t="s">
        <v>133</v>
      </c>
      <c r="J137" s="129"/>
      <c r="K137" s="109"/>
    </row>
    <row r="138" spans="2:11" ht="14.5" thickBot="1">
      <c r="B138" s="132" t="s">
        <v>406</v>
      </c>
      <c r="C138" s="259"/>
      <c r="D138" s="260"/>
      <c r="E138" s="96"/>
      <c r="F138" s="96"/>
      <c r="G138" s="98"/>
      <c r="H138" s="98"/>
      <c r="I138" s="97"/>
      <c r="J138" s="131"/>
      <c r="K138" s="109"/>
    </row>
    <row r="139" spans="2:11" s="4" customFormat="1" ht="14.5" thickBot="1">
      <c r="B139" s="133" t="s">
        <v>407</v>
      </c>
      <c r="C139" s="261">
        <f>'Input use - economics'!M23</f>
        <v>2753.1504</v>
      </c>
      <c r="D139" s="262" t="str">
        <f>'Input use - economics'!N23</f>
        <v>kg/year</v>
      </c>
      <c r="E139" s="47"/>
      <c r="F139" s="47" t="str">
        <f>IF(E139="Stakeholder input","High quality",IF(E139="Previous study","Medium quality",IF(E139="Literature","Medium quality",IF(E139="Googling","Fair quality",IF(E139="Scientific literature","High quality",IF(E139="Expert judgement","Medium quality",""))))))</f>
        <v/>
      </c>
      <c r="G139" s="47"/>
      <c r="H139" s="78"/>
      <c r="I139" s="82" t="s">
        <v>133</v>
      </c>
      <c r="J139" s="103"/>
      <c r="K139" s="109"/>
    </row>
    <row r="140" spans="2:11" s="4" customFormat="1">
      <c r="B140" s="51" t="s">
        <v>544</v>
      </c>
      <c r="C140" s="122">
        <f>'Input use - economics'!M24</f>
        <v>250.90559999999999</v>
      </c>
      <c r="D140" s="262" t="str">
        <f>'Input use - economics'!D24</f>
        <v>kg/year</v>
      </c>
      <c r="E140" s="51"/>
      <c r="F140" s="51"/>
      <c r="G140" s="51"/>
      <c r="H140" s="63"/>
      <c r="I140" s="82" t="s">
        <v>133</v>
      </c>
      <c r="J140" s="445"/>
      <c r="K140" s="135"/>
    </row>
    <row r="141" spans="2:11" s="4" customFormat="1">
      <c r="B141" s="125" t="s">
        <v>410</v>
      </c>
      <c r="C141" s="122">
        <f>'Input use - economics'!M25</f>
        <v>0</v>
      </c>
      <c r="D141" s="251">
        <f>'Input use - economics'!N25</f>
        <v>0</v>
      </c>
      <c r="E141" s="48"/>
      <c r="F141" s="48"/>
      <c r="G141" s="48"/>
      <c r="H141" s="80"/>
      <c r="I141" s="34" t="s">
        <v>133</v>
      </c>
      <c r="J141" s="129"/>
      <c r="K141" s="135"/>
    </row>
    <row r="142" spans="2:11" s="4" customFormat="1">
      <c r="B142" s="125" t="s">
        <v>411</v>
      </c>
      <c r="C142" s="256">
        <f>'Input use - economics'!M26</f>
        <v>0</v>
      </c>
      <c r="D142" s="254" t="str">
        <f>'Input use - economics'!N26</f>
        <v>-</v>
      </c>
      <c r="E142" s="48"/>
      <c r="F142" s="48"/>
      <c r="G142" s="48"/>
      <c r="H142" s="80"/>
      <c r="I142" s="34" t="s">
        <v>133</v>
      </c>
      <c r="J142" s="129"/>
      <c r="K142" s="135"/>
    </row>
    <row r="143" spans="2:11" ht="14.5" thickBot="1">
      <c r="B143" s="88" t="s">
        <v>413</v>
      </c>
      <c r="C143" s="263">
        <f>'Input use - economics'!M27</f>
        <v>0</v>
      </c>
      <c r="D143" s="264" t="str">
        <f>'Input use - economics'!N27</f>
        <v>%</v>
      </c>
      <c r="E143" s="37"/>
      <c r="F143" s="37" t="str">
        <f t="shared" si="28"/>
        <v/>
      </c>
      <c r="G143" s="21"/>
      <c r="H143" s="21"/>
      <c r="I143" s="38" t="s">
        <v>133</v>
      </c>
      <c r="J143" s="105"/>
      <c r="K143" s="106"/>
    </row>
    <row r="145" spans="2:11" ht="15" thickBot="1">
      <c r="B145" s="111" t="s">
        <v>545</v>
      </c>
    </row>
    <row r="146" spans="2:11" s="114" customFormat="1" ht="14.5" thickBot="1">
      <c r="B146" s="18" t="s">
        <v>546</v>
      </c>
      <c r="C146" s="18" t="s">
        <v>305</v>
      </c>
      <c r="D146" s="18" t="s">
        <v>7</v>
      </c>
      <c r="E146" s="18" t="s">
        <v>458</v>
      </c>
      <c r="F146" s="18" t="s">
        <v>459</v>
      </c>
      <c r="G146" s="18" t="s">
        <v>460</v>
      </c>
      <c r="H146" s="18" t="s">
        <v>503</v>
      </c>
      <c r="I146" s="18" t="s">
        <v>461</v>
      </c>
      <c r="J146" s="17" t="s">
        <v>462</v>
      </c>
      <c r="K146" s="102" t="s">
        <v>463</v>
      </c>
    </row>
    <row r="147" spans="2:11" ht="14.5" thickBot="1">
      <c r="B147" s="132" t="s">
        <v>276</v>
      </c>
      <c r="C147" s="132"/>
      <c r="D147" s="132"/>
      <c r="E147" s="132"/>
      <c r="F147" s="137"/>
      <c r="G147" s="132"/>
      <c r="H147" s="132"/>
      <c r="I147" s="132"/>
      <c r="J147" s="131"/>
      <c r="K147" s="131"/>
    </row>
    <row r="148" spans="2:11" ht="14.5">
      <c r="B148" s="138" t="s">
        <v>611</v>
      </c>
      <c r="C148" s="139">
        <f>(C128*C129)/C149</f>
        <v>70.059479166666648</v>
      </c>
      <c r="D148" s="134" t="s">
        <v>368</v>
      </c>
      <c r="E148" s="41"/>
      <c r="F148" s="20" t="str">
        <f>IF(E148="Stakeholder input","High quality",IF(E148="Previous study","Medium quality",IF(E148="Literature","Medium quality",IF(E148="Googling","Fair quality",IF(E148="Scientific literature","High quality",IF(E148="Expert judgement","Medium quality",""))))))</f>
        <v/>
      </c>
      <c r="G148" s="20"/>
      <c r="H148" s="20"/>
      <c r="I148" s="20" t="s">
        <v>254</v>
      </c>
      <c r="J148" s="103"/>
      <c r="K148" s="104"/>
    </row>
    <row r="149" spans="2:11" ht="15" thickBot="1">
      <c r="B149" s="140" t="s">
        <v>612</v>
      </c>
      <c r="C149" s="21">
        <f>C137*C135</f>
        <v>2640</v>
      </c>
      <c r="D149" s="136" t="s">
        <v>549</v>
      </c>
      <c r="E149" s="37"/>
      <c r="F149" s="21" t="str">
        <f t="shared" ref="F149:F153" si="29">IF(E149="Stakeholder input","High quality",IF(E149="Previous study","Medium quality",IF(E149="Literature","Medium quality",IF(E149="Googling","Fair quality",IF(E149="Scientific literature","High quality",IF(E149="Expert judgement","Medium quality",""))))))</f>
        <v/>
      </c>
      <c r="G149" s="21"/>
      <c r="H149" s="21"/>
      <c r="I149" s="81" t="s">
        <v>254</v>
      </c>
      <c r="J149" s="129"/>
      <c r="K149" s="135"/>
    </row>
    <row r="150" spans="2:11" ht="14.5">
      <c r="B150" s="141" t="s">
        <v>550</v>
      </c>
      <c r="C150" s="142">
        <f>'T3 Input data'!$G$167</f>
        <v>1.85</v>
      </c>
      <c r="D150" s="91" t="s">
        <v>368</v>
      </c>
      <c r="E150" s="41"/>
      <c r="F150" s="22" t="str">
        <f t="shared" si="29"/>
        <v/>
      </c>
      <c r="G150" s="22"/>
      <c r="H150" s="22"/>
      <c r="I150" s="20" t="s">
        <v>254</v>
      </c>
      <c r="J150" s="143"/>
      <c r="K150" s="144"/>
    </row>
    <row r="151" spans="2:11" ht="29" thickBot="1">
      <c r="B151" s="140" t="s">
        <v>551</v>
      </c>
      <c r="C151" s="21">
        <f>'T3 Input data'!F167*C135</f>
        <v>1485</v>
      </c>
      <c r="D151" s="88" t="s">
        <v>549</v>
      </c>
      <c r="E151" s="37"/>
      <c r="F151" s="22" t="str">
        <f t="shared" si="29"/>
        <v/>
      </c>
      <c r="G151" s="22" t="s">
        <v>552</v>
      </c>
      <c r="H151" s="22"/>
      <c r="I151" s="38" t="s">
        <v>254</v>
      </c>
      <c r="J151" s="105"/>
      <c r="K151" s="106"/>
    </row>
    <row r="152" spans="2:11" ht="14.5">
      <c r="B152" s="141" t="s">
        <v>553</v>
      </c>
      <c r="C152" s="145"/>
      <c r="D152" s="134" t="s">
        <v>368</v>
      </c>
      <c r="E152" s="41"/>
      <c r="F152" s="23" t="str">
        <f t="shared" si="29"/>
        <v/>
      </c>
      <c r="G152" s="23"/>
      <c r="H152" s="23"/>
      <c r="I152" s="82" t="s">
        <v>254</v>
      </c>
      <c r="J152" s="103"/>
      <c r="K152" s="104"/>
    </row>
    <row r="153" spans="2:11" ht="15" thickBot="1">
      <c r="B153" s="140" t="s">
        <v>554</v>
      </c>
      <c r="C153" s="113"/>
      <c r="D153" s="88" t="s">
        <v>549</v>
      </c>
      <c r="E153" s="37"/>
      <c r="F153" s="24" t="str">
        <f t="shared" si="29"/>
        <v/>
      </c>
      <c r="G153" s="24"/>
      <c r="H153" s="24"/>
      <c r="I153" s="38" t="s">
        <v>254</v>
      </c>
      <c r="J153" s="129"/>
      <c r="K153" s="135"/>
    </row>
    <row r="154" spans="2:11" ht="14.5" thickBot="1">
      <c r="B154" s="132" t="s">
        <v>370</v>
      </c>
      <c r="C154" s="132"/>
      <c r="D154" s="146"/>
      <c r="E154" s="132"/>
      <c r="F154" s="132"/>
      <c r="G154" s="132"/>
      <c r="H154" s="132"/>
      <c r="I154" s="132"/>
      <c r="J154" s="131"/>
      <c r="K154" s="131"/>
    </row>
    <row r="155" spans="2:11" s="147" customFormat="1" ht="56">
      <c r="B155" s="148" t="s">
        <v>613</v>
      </c>
      <c r="C155" s="149">
        <f>((C128*C130)+C131)/C156</f>
        <v>13.669697949999998</v>
      </c>
      <c r="D155" s="87" t="s">
        <v>368</v>
      </c>
      <c r="E155" s="42"/>
      <c r="F155" s="20" t="str">
        <f>IF(E155="Stakeholder input","High quality",IF(E155="Previous study","Medium quality",IF(E155="Literature","Medium quality",IF(E155="Googling","Fair quality",IF(E155="Scientific literature","High quality",IF(E155="Expert judgement","Medium quality",""))))))</f>
        <v/>
      </c>
      <c r="G155" s="20" t="s">
        <v>556</v>
      </c>
      <c r="H155" s="20" t="s">
        <v>557</v>
      </c>
      <c r="I155" s="20" t="s">
        <v>254</v>
      </c>
      <c r="J155" s="103"/>
      <c r="K155" s="104"/>
    </row>
    <row r="156" spans="2:11">
      <c r="B156" s="150" t="s">
        <v>614</v>
      </c>
      <c r="C156" s="21">
        <f>C149</f>
        <v>2640</v>
      </c>
      <c r="D156" s="88" t="s">
        <v>549</v>
      </c>
      <c r="E156" s="37"/>
      <c r="F156" s="37" t="str">
        <f>IF(E156="Stakeholder input","High quality",IF(E156="Previous study","Medium quality",IF(E156="Literature","Medium quality",IF(E156="Googling","Fair quality",IF(E156="Scientific literature","High quality",IF(E156="Expert judgement","Medium quality",""))))))</f>
        <v/>
      </c>
      <c r="G156" s="21"/>
      <c r="H156" s="21"/>
      <c r="I156" s="38" t="s">
        <v>254</v>
      </c>
      <c r="J156" s="129"/>
      <c r="K156" s="135"/>
    </row>
    <row r="157" spans="2:11" ht="14.5">
      <c r="B157" s="151" t="s">
        <v>559</v>
      </c>
      <c r="C157" s="152">
        <f>((C128*C130)+C131)/C158</f>
        <v>13.669697949999998</v>
      </c>
      <c r="D157" s="89" t="s">
        <v>560</v>
      </c>
      <c r="E157" s="43"/>
      <c r="F157" s="25" t="str">
        <f t="shared" ref="F157:F172" si="30">IF(E157="Stakeholder input","High quality",IF(E157="Previous study","Medium quality",IF(E157="Literature","Medium quality",IF(E157="Googling","Fair quality",IF(E157="Scientific literature","High quality",IF(E157="Expert judgement","Medium quality",""))))))</f>
        <v/>
      </c>
      <c r="G157" s="25" t="s">
        <v>556</v>
      </c>
      <c r="H157" s="25"/>
      <c r="I157" s="25" t="s">
        <v>254</v>
      </c>
      <c r="J157" s="143"/>
      <c r="K157" s="144"/>
    </row>
    <row r="158" spans="2:11" ht="14.5">
      <c r="B158" s="153" t="s">
        <v>561</v>
      </c>
      <c r="C158" s="154">
        <f>C137*C135</f>
        <v>2640</v>
      </c>
      <c r="D158" s="90" t="s">
        <v>562</v>
      </c>
      <c r="E158" s="44"/>
      <c r="F158" s="26" t="str">
        <f t="shared" si="30"/>
        <v/>
      </c>
      <c r="G158" s="26"/>
      <c r="H158" s="26"/>
      <c r="I158" s="26" t="s">
        <v>254</v>
      </c>
      <c r="J158" s="108"/>
      <c r="K158" s="109"/>
    </row>
    <row r="159" spans="2:11" ht="15" thickBot="1">
      <c r="B159" s="285" t="s">
        <v>563</v>
      </c>
      <c r="C159" s="155"/>
      <c r="D159" s="156"/>
      <c r="E159" s="45"/>
      <c r="F159" s="27" t="str">
        <f t="shared" si="30"/>
        <v/>
      </c>
      <c r="G159" s="27"/>
      <c r="H159" s="27"/>
      <c r="I159" s="27"/>
      <c r="J159" s="105"/>
      <c r="K159" s="106"/>
    </row>
    <row r="160" spans="2:11" ht="14.5" thickBot="1">
      <c r="B160" s="132" t="s">
        <v>564</v>
      </c>
      <c r="C160" s="132"/>
      <c r="D160" s="146"/>
      <c r="E160" s="132"/>
      <c r="F160" s="132" t="str">
        <f t="shared" si="30"/>
        <v/>
      </c>
      <c r="G160" s="132"/>
      <c r="H160" s="132"/>
      <c r="I160" s="132"/>
      <c r="J160" s="131"/>
      <c r="K160" s="131"/>
    </row>
    <row r="161" spans="1:12">
      <c r="B161" s="157" t="s">
        <v>615</v>
      </c>
      <c r="C161" s="158">
        <f>(C132/C162)*0.001</f>
        <v>0.4657</v>
      </c>
      <c r="D161" s="91" t="s">
        <v>566</v>
      </c>
      <c r="E161" s="41"/>
      <c r="F161" s="29" t="str">
        <f t="shared" si="30"/>
        <v/>
      </c>
      <c r="G161" s="29"/>
      <c r="H161" s="20"/>
      <c r="I161" s="20" t="s">
        <v>254</v>
      </c>
      <c r="J161" s="103"/>
      <c r="K161" s="104"/>
    </row>
    <row r="162" spans="1:12" ht="14.5" thickBot="1">
      <c r="B162" s="159" t="s">
        <v>616</v>
      </c>
      <c r="C162" s="21">
        <f>C149</f>
        <v>2640</v>
      </c>
      <c r="D162" s="88" t="s">
        <v>549</v>
      </c>
      <c r="E162" s="37"/>
      <c r="F162" s="21" t="str">
        <f t="shared" si="30"/>
        <v/>
      </c>
      <c r="G162" s="21"/>
      <c r="H162" s="21"/>
      <c r="I162" s="21" t="s">
        <v>254</v>
      </c>
      <c r="J162" s="129"/>
      <c r="K162" s="135"/>
    </row>
    <row r="163" spans="1:12" ht="14.5" thickBot="1">
      <c r="B163" s="159" t="s">
        <v>567</v>
      </c>
      <c r="C163" s="448">
        <f>C132*0.001</f>
        <v>1229.4480000000001</v>
      </c>
      <c r="D163" s="88" t="s">
        <v>566</v>
      </c>
      <c r="E163" s="37"/>
      <c r="F163" s="21"/>
      <c r="G163" s="21"/>
      <c r="H163" s="21"/>
      <c r="I163" s="21" t="s">
        <v>542</v>
      </c>
      <c r="J163" s="129"/>
      <c r="K163" s="135"/>
    </row>
    <row r="164" spans="1:12" ht="14.5" thickBot="1">
      <c r="B164" s="132" t="s">
        <v>406</v>
      </c>
      <c r="C164" s="132"/>
      <c r="D164" s="146"/>
      <c r="E164" s="132"/>
      <c r="F164" s="132" t="str">
        <f t="shared" si="30"/>
        <v/>
      </c>
      <c r="G164" s="132"/>
      <c r="H164" s="132"/>
      <c r="I164" s="132"/>
      <c r="J164" s="131"/>
      <c r="K164" s="131"/>
    </row>
    <row r="165" spans="1:12" ht="15" thickBot="1">
      <c r="B165" s="160" t="s">
        <v>617</v>
      </c>
      <c r="C165" s="161">
        <f>C139/C149</f>
        <v>1.0428599999999999</v>
      </c>
      <c r="D165" s="162" t="s">
        <v>309</v>
      </c>
      <c r="E165" s="46"/>
      <c r="F165" s="28" t="str">
        <f t="shared" si="30"/>
        <v/>
      </c>
      <c r="G165" s="28"/>
      <c r="H165" s="28"/>
      <c r="I165" s="28" t="s">
        <v>254</v>
      </c>
      <c r="J165" s="163"/>
      <c r="K165" s="164"/>
    </row>
    <row r="166" spans="1:12" ht="15" thickBot="1">
      <c r="B166" s="551" t="s">
        <v>618</v>
      </c>
      <c r="C166" s="161">
        <f>C140/C149</f>
        <v>9.5039999999999999E-2</v>
      </c>
      <c r="D166" s="162" t="s">
        <v>309</v>
      </c>
      <c r="E166" s="51"/>
      <c r="F166" s="63"/>
      <c r="G166" s="63"/>
      <c r="H166" s="63"/>
      <c r="I166" s="63"/>
      <c r="J166" s="445"/>
      <c r="K166" s="446"/>
    </row>
    <row r="167" spans="1:12">
      <c r="B167" s="157" t="s">
        <v>569</v>
      </c>
      <c r="C167" s="78">
        <f>C141</f>
        <v>0</v>
      </c>
      <c r="D167" s="123"/>
      <c r="E167" s="47"/>
      <c r="F167" s="78" t="str">
        <f t="shared" si="30"/>
        <v/>
      </c>
      <c r="G167" s="78"/>
      <c r="H167" s="78"/>
      <c r="I167" s="78" t="s">
        <v>570</v>
      </c>
      <c r="J167" s="103"/>
      <c r="K167" s="104"/>
    </row>
    <row r="168" spans="1:12">
      <c r="B168" s="165" t="s">
        <v>411</v>
      </c>
      <c r="C168" s="22">
        <f>C142</f>
        <v>0</v>
      </c>
      <c r="D168" s="128" t="s">
        <v>412</v>
      </c>
      <c r="E168" s="33"/>
      <c r="F168" s="22" t="str">
        <f t="shared" si="30"/>
        <v/>
      </c>
      <c r="G168" s="22"/>
      <c r="H168" s="22"/>
      <c r="I168" s="78" t="s">
        <v>570</v>
      </c>
      <c r="J168" s="108"/>
      <c r="K168" s="109"/>
    </row>
    <row r="169" spans="1:12" ht="14.5" thickBot="1">
      <c r="B169" s="166" t="s">
        <v>413</v>
      </c>
      <c r="C169" s="80">
        <f>C143</f>
        <v>0</v>
      </c>
      <c r="D169" s="128" t="s">
        <v>386</v>
      </c>
      <c r="E169" s="48"/>
      <c r="F169" s="80" t="str">
        <f t="shared" si="30"/>
        <v/>
      </c>
      <c r="G169" s="80"/>
      <c r="H169" s="80"/>
      <c r="I169" s="78" t="s">
        <v>570</v>
      </c>
      <c r="J169" s="129"/>
      <c r="K169" s="135"/>
    </row>
    <row r="170" spans="1:12" ht="14.5" thickBot="1">
      <c r="B170" s="132" t="s">
        <v>571</v>
      </c>
      <c r="C170" s="132"/>
      <c r="D170" s="146"/>
      <c r="E170" s="132"/>
      <c r="F170" s="132" t="str">
        <f t="shared" si="30"/>
        <v/>
      </c>
      <c r="G170" s="132"/>
      <c r="H170" s="132"/>
      <c r="I170" s="132"/>
      <c r="J170" s="131"/>
      <c r="K170" s="131"/>
    </row>
    <row r="171" spans="1:12">
      <c r="B171" s="78"/>
      <c r="C171" s="78"/>
      <c r="D171" s="123"/>
      <c r="E171" s="47"/>
      <c r="F171" s="78" t="str">
        <f t="shared" si="30"/>
        <v/>
      </c>
      <c r="G171" s="78"/>
      <c r="H171" s="78"/>
      <c r="I171" s="78"/>
      <c r="J171" s="103"/>
      <c r="K171" s="104"/>
    </row>
    <row r="172" spans="1:12" ht="14.5" thickBot="1">
      <c r="B172" s="21"/>
      <c r="C172" s="21"/>
      <c r="D172" s="88"/>
      <c r="E172" s="37"/>
      <c r="F172" s="21" t="str">
        <f t="shared" si="30"/>
        <v/>
      </c>
      <c r="G172" s="21"/>
      <c r="H172" s="21"/>
      <c r="I172" s="21"/>
      <c r="J172" s="105"/>
      <c r="K172" s="106"/>
    </row>
    <row r="174" spans="1:12" s="99" customFormat="1" ht="21">
      <c r="A174" s="110"/>
      <c r="B174" s="52" t="s">
        <v>572</v>
      </c>
      <c r="C174" s="110"/>
      <c r="D174" s="52"/>
      <c r="E174" s="52"/>
      <c r="F174" s="110"/>
      <c r="G174" s="110"/>
      <c r="H174" s="110"/>
      <c r="I174" s="110"/>
      <c r="J174" s="110"/>
      <c r="K174" s="110"/>
      <c r="L174" s="110"/>
    </row>
    <row r="175" spans="1:12" ht="14.5" thickBot="1">
      <c r="B175"/>
    </row>
    <row r="176" spans="1:12" ht="14.5" thickBot="1">
      <c r="B176" s="83" t="s">
        <v>573</v>
      </c>
      <c r="C176" s="84" t="s">
        <v>305</v>
      </c>
      <c r="D176" s="83" t="s">
        <v>7</v>
      </c>
      <c r="E176" s="84" t="s">
        <v>458</v>
      </c>
      <c r="F176" s="83" t="s">
        <v>459</v>
      </c>
      <c r="G176" s="83" t="s">
        <v>460</v>
      </c>
      <c r="H176" s="83" t="s">
        <v>503</v>
      </c>
      <c r="I176" s="84" t="s">
        <v>461</v>
      </c>
      <c r="J176" s="85" t="s">
        <v>462</v>
      </c>
      <c r="K176" s="167" t="s">
        <v>463</v>
      </c>
    </row>
    <row r="177" spans="1:12" ht="14.5" thickBot="1">
      <c r="B177" s="132" t="s">
        <v>415</v>
      </c>
      <c r="C177" s="132"/>
      <c r="D177" s="132"/>
      <c r="E177" s="132"/>
      <c r="F177" s="132"/>
      <c r="G177" s="132"/>
      <c r="H177" s="132"/>
      <c r="I177" s="146"/>
      <c r="J177" s="131"/>
      <c r="K177" s="131"/>
    </row>
    <row r="178" spans="1:12">
      <c r="A178" s="4"/>
      <c r="B178" s="47" t="s">
        <v>416</v>
      </c>
      <c r="C178" s="273">
        <f>'Input use - economics'!M36</f>
        <v>15</v>
      </c>
      <c r="D178" s="47" t="str">
        <f>'Input use - economics'!N36</f>
        <v>years</v>
      </c>
      <c r="E178" s="47"/>
      <c r="F178" s="47" t="str">
        <f>IF(E178="Stakeholder input","High quality",IF(E178="Previous study","Medium quality",IF(E178="Literature","Medium quality",IF(E178="Googling","Fair quality",IF(E178="Scientific literature","High quality",IF(E178="Expert judgement","Medium quality",""))))))</f>
        <v/>
      </c>
      <c r="G178" s="47"/>
      <c r="H178" s="47"/>
      <c r="I178" s="47" t="s">
        <v>542</v>
      </c>
      <c r="J178" s="103"/>
      <c r="K178" s="104"/>
      <c r="L178" s="4"/>
    </row>
    <row r="179" spans="1:12" ht="14.5" thickBot="1">
      <c r="A179" s="4"/>
      <c r="B179" s="48" t="s">
        <v>418</v>
      </c>
      <c r="C179" s="274">
        <f>'Input use - economics'!M37</f>
        <v>2.2000000000000002</v>
      </c>
      <c r="D179" s="48" t="str">
        <f>'Input use - economics'!N37</f>
        <v>-</v>
      </c>
      <c r="E179" s="48"/>
      <c r="F179" s="48" t="str">
        <f t="shared" ref="F179:F194" si="31">IF(E179="Stakeholder input","High quality",IF(E179="Previous study","Medium quality",IF(E179="Literature","Medium quality",IF(E179="Googling","Fair quality",IF(E179="Scientific literature","High quality",IF(E179="Expert judgement","Medium quality",""))))))</f>
        <v/>
      </c>
      <c r="G179" s="48"/>
      <c r="H179" s="48"/>
      <c r="I179" s="33" t="s">
        <v>542</v>
      </c>
      <c r="J179" s="129"/>
      <c r="K179" s="135"/>
      <c r="L179" s="4"/>
    </row>
    <row r="180" spans="1:12" ht="14.5" thickBot="1">
      <c r="A180" s="4"/>
      <c r="B180" s="86" t="s">
        <v>419</v>
      </c>
      <c r="C180" s="275"/>
      <c r="D180" s="86"/>
      <c r="E180" s="86"/>
      <c r="F180" s="86" t="str">
        <f t="shared" si="31"/>
        <v/>
      </c>
      <c r="G180" s="86"/>
      <c r="H180" s="86"/>
      <c r="I180" s="86"/>
      <c r="J180" s="131"/>
      <c r="K180" s="131"/>
      <c r="L180" s="4"/>
    </row>
    <row r="181" spans="1:12" ht="28">
      <c r="A181" s="4"/>
      <c r="B181" s="41" t="s">
        <v>574</v>
      </c>
      <c r="C181" s="276">
        <f>'Input use - economics'!M39</f>
        <v>1.5399999999999999E-3</v>
      </c>
      <c r="D181" s="41" t="str">
        <f>'Input use - economics'!N39</f>
        <v>mln. units/year</v>
      </c>
      <c r="E181" s="41" t="s">
        <v>607</v>
      </c>
      <c r="F181" s="41" t="str">
        <f t="shared" si="31"/>
        <v>Medium quality</v>
      </c>
      <c r="G181" s="41"/>
      <c r="H181" s="41" t="s">
        <v>575</v>
      </c>
      <c r="I181" s="41" t="s">
        <v>576</v>
      </c>
      <c r="J181" s="143"/>
      <c r="K181" s="104"/>
      <c r="L181" s="4"/>
    </row>
    <row r="182" spans="1:12" ht="70">
      <c r="A182" s="4"/>
      <c r="B182" s="33" t="s">
        <v>422</v>
      </c>
      <c r="C182" s="452">
        <f>'Input use - economics'!M40</f>
        <v>22866.995000000003</v>
      </c>
      <c r="D182" s="33" t="str">
        <f>'Input use - economics'!N40</f>
        <v>Euro/unit</v>
      </c>
      <c r="E182" s="33" t="s">
        <v>577</v>
      </c>
      <c r="F182" s="33" t="str">
        <f t="shared" si="31"/>
        <v>Medium quality</v>
      </c>
      <c r="G182" s="33" t="s">
        <v>578</v>
      </c>
      <c r="H182" s="33" t="s">
        <v>608</v>
      </c>
      <c r="I182" s="33" t="s">
        <v>576</v>
      </c>
      <c r="J182" s="108"/>
      <c r="K182" s="109"/>
      <c r="L182" s="4"/>
    </row>
    <row r="183" spans="1:12" ht="70">
      <c r="A183" s="4"/>
      <c r="B183" s="33" t="s">
        <v>424</v>
      </c>
      <c r="C183" s="453">
        <f>'Input use - economics'!M41</f>
        <v>15</v>
      </c>
      <c r="D183" s="33" t="str">
        <f>'Input use - economics'!N41</f>
        <v>-</v>
      </c>
      <c r="E183" s="33"/>
      <c r="F183" s="33" t="str">
        <f t="shared" si="31"/>
        <v/>
      </c>
      <c r="G183" s="360" t="s">
        <v>579</v>
      </c>
      <c r="H183" s="481" t="s">
        <v>580</v>
      </c>
      <c r="I183" s="33" t="s">
        <v>576</v>
      </c>
      <c r="J183" s="108"/>
      <c r="K183" s="109"/>
      <c r="L183" s="4"/>
    </row>
    <row r="184" spans="1:12" ht="70">
      <c r="A184" s="4"/>
      <c r="B184" s="33" t="s">
        <v>425</v>
      </c>
      <c r="C184" s="277">
        <f>'Input use - economics'!M42</f>
        <v>0</v>
      </c>
      <c r="D184" s="33" t="str">
        <f>'Input use - economics'!N42</f>
        <v>Euro/ unit</v>
      </c>
      <c r="E184" s="33"/>
      <c r="F184" s="33" t="str">
        <f t="shared" si="31"/>
        <v/>
      </c>
      <c r="G184" s="33" t="s">
        <v>581</v>
      </c>
      <c r="H184" s="33"/>
      <c r="I184" s="33" t="s">
        <v>576</v>
      </c>
      <c r="J184" s="108"/>
      <c r="K184" s="109"/>
      <c r="L184" s="4"/>
    </row>
    <row r="185" spans="1:12" ht="56">
      <c r="A185" s="4"/>
      <c r="B185" s="33" t="s">
        <v>427</v>
      </c>
      <c r="C185" s="480">
        <f>'Input use - economics'!M43</f>
        <v>2.3477100000000001E-2</v>
      </c>
      <c r="D185" s="33" t="str">
        <f>'Input use - economics'!N43</f>
        <v>Euro/MJ</v>
      </c>
      <c r="E185" s="33"/>
      <c r="F185" s="33" t="str">
        <f t="shared" si="31"/>
        <v/>
      </c>
      <c r="G185" s="360" t="s">
        <v>582</v>
      </c>
      <c r="H185" s="360" t="s">
        <v>583</v>
      </c>
      <c r="I185" s="33" t="s">
        <v>576</v>
      </c>
      <c r="J185" s="108"/>
      <c r="K185" s="109"/>
      <c r="L185" s="4"/>
    </row>
    <row r="186" spans="1:12" ht="42">
      <c r="A186" s="4"/>
      <c r="B186" s="33" t="s">
        <v>429</v>
      </c>
      <c r="C186" s="277">
        <f>'Input use - economics'!M44</f>
        <v>0.2571</v>
      </c>
      <c r="D186" s="33" t="str">
        <f>'Input use - economics'!N44</f>
        <v>Euro/kWh</v>
      </c>
      <c r="E186" s="33" t="s">
        <v>577</v>
      </c>
      <c r="F186" s="33" t="str">
        <f t="shared" si="31"/>
        <v>Medium quality</v>
      </c>
      <c r="G186" s="33" t="s">
        <v>584</v>
      </c>
      <c r="H186" s="33" t="s">
        <v>585</v>
      </c>
      <c r="I186" s="33" t="s">
        <v>576</v>
      </c>
      <c r="J186" s="108"/>
      <c r="K186" s="109"/>
      <c r="L186" s="4"/>
    </row>
    <row r="187" spans="1:12" ht="28">
      <c r="A187" s="4"/>
      <c r="B187" s="33" t="s">
        <v>431</v>
      </c>
      <c r="C187" s="277">
        <f>'Input use - economics'!M45</f>
        <v>1.91</v>
      </c>
      <c r="D187" s="33" t="str">
        <f>'Input use - economics'!N45</f>
        <v>Euro/m3</v>
      </c>
      <c r="E187" s="33" t="s">
        <v>577</v>
      </c>
      <c r="F187" s="33" t="str">
        <f t="shared" si="31"/>
        <v>Medium quality</v>
      </c>
      <c r="G187" s="33" t="s">
        <v>586</v>
      </c>
      <c r="H187" s="33" t="s">
        <v>587</v>
      </c>
      <c r="I187" s="33" t="s">
        <v>576</v>
      </c>
      <c r="J187" s="108"/>
      <c r="K187" s="109"/>
      <c r="L187" s="4"/>
    </row>
    <row r="188" spans="1:12" ht="28">
      <c r="A188" s="4"/>
      <c r="B188" s="33" t="s">
        <v>433</v>
      </c>
      <c r="C188" s="450">
        <f>'Input use - economics'!M46</f>
        <v>10061.477800000001</v>
      </c>
      <c r="D188" s="33" t="str">
        <f>'Input use - economics'!N46</f>
        <v>Euro/ unit</v>
      </c>
      <c r="E188" s="33" t="s">
        <v>577</v>
      </c>
      <c r="F188" s="33" t="str">
        <f t="shared" si="31"/>
        <v>Medium quality</v>
      </c>
      <c r="G188" s="33" t="s">
        <v>588</v>
      </c>
      <c r="H188" s="33" t="s">
        <v>609</v>
      </c>
      <c r="I188" s="33" t="s">
        <v>576</v>
      </c>
      <c r="J188" s="108"/>
      <c r="K188" s="109"/>
      <c r="L188" s="4"/>
    </row>
    <row r="189" spans="1:12">
      <c r="A189" s="4"/>
      <c r="B189" s="33" t="s">
        <v>434</v>
      </c>
      <c r="C189" s="456">
        <f>'Input use - economics'!M47</f>
        <v>0.03</v>
      </c>
      <c r="D189" s="33" t="str">
        <f>'Input use - economics'!N47</f>
        <v>%</v>
      </c>
      <c r="E189" s="33" t="s">
        <v>577</v>
      </c>
      <c r="F189" s="33" t="str">
        <f t="shared" si="31"/>
        <v>Medium quality</v>
      </c>
      <c r="G189" s="457" t="s">
        <v>589</v>
      </c>
      <c r="H189" s="458" t="s">
        <v>590</v>
      </c>
      <c r="I189" s="33" t="s">
        <v>576</v>
      </c>
      <c r="J189" s="108"/>
      <c r="K189" s="109"/>
      <c r="L189" s="4"/>
    </row>
    <row r="190" spans="1:12">
      <c r="A190" s="4"/>
      <c r="B190" s="33" t="s">
        <v>435</v>
      </c>
      <c r="C190" s="455">
        <f>'Input use - economics'!M48</f>
        <v>1.5167846227292248E-2</v>
      </c>
      <c r="D190" s="33" t="str">
        <f>'Input use - economics'!N48</f>
        <v>%</v>
      </c>
      <c r="E190" s="33"/>
      <c r="F190" s="33" t="str">
        <f t="shared" si="31"/>
        <v/>
      </c>
      <c r="G190" s="33"/>
      <c r="H190" s="33"/>
      <c r="I190" s="33" t="s">
        <v>576</v>
      </c>
      <c r="J190" s="108"/>
      <c r="K190" s="109"/>
      <c r="L190" s="4"/>
    </row>
    <row r="191" spans="1:12" ht="28">
      <c r="A191" s="4"/>
      <c r="B191" s="33" t="s">
        <v>436</v>
      </c>
      <c r="C191" s="277">
        <f>'Input use - economics'!M49</f>
        <v>0.7</v>
      </c>
      <c r="D191" s="33" t="str">
        <f>'Input use - economics'!N49</f>
        <v>-</v>
      </c>
      <c r="E191" s="33" t="s">
        <v>528</v>
      </c>
      <c r="F191" s="33" t="str">
        <f t="shared" si="31"/>
        <v>High quality</v>
      </c>
      <c r="G191" s="33"/>
      <c r="H191" s="33" t="s">
        <v>591</v>
      </c>
      <c r="I191" s="33" t="s">
        <v>576</v>
      </c>
      <c r="J191" s="108"/>
      <c r="K191" s="109"/>
      <c r="L191" s="4"/>
    </row>
    <row r="192" spans="1:12">
      <c r="A192" s="4"/>
      <c r="B192" s="33" t="s">
        <v>437</v>
      </c>
      <c r="C192" s="450">
        <f>'Input use - economics'!M50</f>
        <v>4.21875</v>
      </c>
      <c r="D192" s="33" t="str">
        <f>'Input use - economics'!N50</f>
        <v>Euro/kg detergent</v>
      </c>
      <c r="E192" s="33" t="s">
        <v>577</v>
      </c>
      <c r="F192" s="33" t="str">
        <f t="shared" si="31"/>
        <v>Medium quality</v>
      </c>
      <c r="G192" s="685" t="s">
        <v>578</v>
      </c>
      <c r="H192" s="685" t="s">
        <v>592</v>
      </c>
      <c r="I192" s="33" t="s">
        <v>576</v>
      </c>
      <c r="J192" s="108"/>
      <c r="K192" s="109"/>
      <c r="L192" s="4"/>
    </row>
    <row r="193" spans="1:12" ht="28">
      <c r="A193" s="4"/>
      <c r="B193" s="33" t="s">
        <v>439</v>
      </c>
      <c r="C193" s="450">
        <f>'Input use - economics'!M51</f>
        <v>3.9266666666666667</v>
      </c>
      <c r="D193" s="33" t="str">
        <f>'Input use - economics'!N51</f>
        <v>Euro/kg rinsing agent</v>
      </c>
      <c r="E193" s="33" t="s">
        <v>577</v>
      </c>
      <c r="F193" s="33" t="str">
        <f t="shared" si="31"/>
        <v>Medium quality</v>
      </c>
      <c r="G193" s="686"/>
      <c r="H193" s="686"/>
      <c r="I193" s="33" t="s">
        <v>576</v>
      </c>
      <c r="J193" s="108"/>
      <c r="K193" s="109"/>
      <c r="L193" s="4"/>
    </row>
    <row r="194" spans="1:12" ht="14.5" thickBot="1">
      <c r="A194" s="4"/>
      <c r="B194" s="37" t="s">
        <v>441</v>
      </c>
      <c r="C194" s="278">
        <f>'Input use - economics'!M52</f>
        <v>0</v>
      </c>
      <c r="D194" s="37">
        <f>'Input use - economics'!N52</f>
        <v>0</v>
      </c>
      <c r="E194" s="37"/>
      <c r="F194" s="37" t="str">
        <f t="shared" si="31"/>
        <v/>
      </c>
      <c r="G194" s="37"/>
      <c r="H194" s="37"/>
      <c r="I194" s="33" t="s">
        <v>576</v>
      </c>
      <c r="J194" s="105"/>
      <c r="K194" s="106"/>
      <c r="L194" s="4"/>
    </row>
    <row r="196" spans="1:12" ht="14.5" thickBot="1"/>
    <row r="197" spans="1:12" ht="28.5" thickBot="1">
      <c r="B197" s="86" t="s">
        <v>593</v>
      </c>
      <c r="C197" s="86" t="s">
        <v>594</v>
      </c>
      <c r="D197" s="86" t="s">
        <v>595</v>
      </c>
      <c r="E197" s="86" t="s">
        <v>596</v>
      </c>
      <c r="F197" s="86" t="s">
        <v>597</v>
      </c>
      <c r="G197" s="86" t="s">
        <v>508</v>
      </c>
    </row>
    <row r="198" spans="1:12" ht="42">
      <c r="B198" s="464" t="s">
        <v>598</v>
      </c>
      <c r="C198" s="465">
        <v>2.1534784789184247E-2</v>
      </c>
      <c r="D198" s="466">
        <f>C155*C156/1.05</f>
        <v>34369.526274285708</v>
      </c>
      <c r="E198" s="466">
        <f>D198*C185*3.6</f>
        <v>2904.8284990585189</v>
      </c>
      <c r="F198" s="467">
        <f>E198/$E$202</f>
        <v>4.5091763881955398E-2</v>
      </c>
      <c r="G198" s="468" t="s">
        <v>599</v>
      </c>
    </row>
    <row r="199" spans="1:12">
      <c r="B199" s="469" t="s">
        <v>367</v>
      </c>
      <c r="C199" s="460">
        <v>1.6197846857569271E-2</v>
      </c>
      <c r="D199" s="462">
        <f>C148*C149</f>
        <v>184957.02499999997</v>
      </c>
      <c r="E199" s="462">
        <f>D199*C186</f>
        <v>47552.45112749999</v>
      </c>
      <c r="F199" s="463">
        <f t="shared" ref="F199:F201" si="32">E199/$E$202</f>
        <v>0.73815851742862471</v>
      </c>
      <c r="G199" s="470"/>
    </row>
    <row r="200" spans="1:12">
      <c r="B200" s="469" t="s">
        <v>107</v>
      </c>
      <c r="C200" s="460">
        <v>1.6220772190373989E-3</v>
      </c>
      <c r="D200" s="462">
        <f>C132</f>
        <v>1229448</v>
      </c>
      <c r="E200" s="462">
        <f>C163*C187</f>
        <v>2348.24568</v>
      </c>
      <c r="F200" s="463">
        <f t="shared" si="32"/>
        <v>3.6451907495984905E-2</v>
      </c>
      <c r="G200" s="470"/>
    </row>
    <row r="201" spans="1:12">
      <c r="B201" s="469" t="s">
        <v>41</v>
      </c>
      <c r="C201" s="460">
        <v>1.2097198247907004E-2</v>
      </c>
      <c r="D201" s="462">
        <f>C139</f>
        <v>2753.1504</v>
      </c>
      <c r="E201" s="462">
        <f>D201*C192</f>
        <v>11614.85325</v>
      </c>
      <c r="F201" s="463">
        <f t="shared" si="32"/>
        <v>0.1802978111934351</v>
      </c>
      <c r="G201" s="470"/>
    </row>
    <row r="202" spans="1:12" ht="14.5" thickBot="1">
      <c r="B202" s="471"/>
      <c r="C202" s="472"/>
      <c r="D202" s="473"/>
      <c r="E202" s="473">
        <f>SUM(E198:E201)</f>
        <v>64420.378556558506</v>
      </c>
      <c r="F202" s="474">
        <f>SUM(F198:F201)</f>
        <v>1</v>
      </c>
      <c r="G202" s="475"/>
    </row>
    <row r="203" spans="1:12" ht="14.5" thickBot="1">
      <c r="B203" s="476" t="s">
        <v>600</v>
      </c>
      <c r="C203" s="477">
        <f>(F198*C198)+(F199*C199)+(F200*C200)+(F201*C201)</f>
        <v>1.5167846227292248E-2</v>
      </c>
      <c r="D203" s="461"/>
      <c r="E203" s="461"/>
      <c r="F203" s="461"/>
      <c r="G203" s="14"/>
    </row>
  </sheetData>
  <mergeCells count="28">
    <mergeCell ref="F120:G120"/>
    <mergeCell ref="B6:I6"/>
    <mergeCell ref="C7:I7"/>
    <mergeCell ref="C8:I8"/>
    <mergeCell ref="C9:I9"/>
    <mergeCell ref="C10:I10"/>
    <mergeCell ref="B117:B119"/>
    <mergeCell ref="F117:G117"/>
    <mergeCell ref="F118:G118"/>
    <mergeCell ref="F119:G119"/>
    <mergeCell ref="G90:G93"/>
    <mergeCell ref="H90:H93"/>
    <mergeCell ref="G192:G193"/>
    <mergeCell ref="H192:H193"/>
    <mergeCell ref="E74:E76"/>
    <mergeCell ref="F74:F76"/>
    <mergeCell ref="G74:G76"/>
    <mergeCell ref="H74:H76"/>
    <mergeCell ref="E77:E83"/>
    <mergeCell ref="F77:F83"/>
    <mergeCell ref="H77:H83"/>
    <mergeCell ref="G78:G83"/>
    <mergeCell ref="E84:E89"/>
    <mergeCell ref="F84:F89"/>
    <mergeCell ref="G84:G89"/>
    <mergeCell ref="H84:H89"/>
    <mergeCell ref="E90:E93"/>
    <mergeCell ref="F90:F93"/>
  </mergeCells>
  <phoneticPr fontId="15" type="noConversion"/>
  <conditionalFormatting sqref="H17:H41">
    <cfRule type="expression" dxfId="1" priority="2">
      <formula>G17="No"</formula>
    </cfRule>
  </conditionalFormatting>
  <conditionalFormatting sqref="H46:H55">
    <cfRule type="expression" dxfId="0" priority="1">
      <formula>G46="No"</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00EBB8F-E06C-4330-91C3-76A093974792}">
          <x14:formula1>
            <xm:f>Lists!$B$2:$B$3</xm:f>
          </x14:formula1>
          <xm:sqref>G46:G55 G17:G41</xm:sqref>
        </x14:dataValidation>
        <x14:dataValidation type="list" allowBlank="1" showInputMessage="1" showErrorMessage="1" xr:uid="{E894809D-AA66-4FE4-9CB6-A92616D4831B}">
          <x14:formula1>
            <xm:f>Lists!$F$2:$F$7</xm:f>
          </x14:formula1>
          <xm:sqref>E148:E153 I46:I55 E171:E172 E165:E169 E155:E159 E161:E163 E178:E179 E181:E194 E101:E102 E106:E107 E111:E112 E68:E71 E64:E65 I17:I41 E128:E142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9578-62B0-4FE0-A7F6-F6829C0442B5}">
  <dimension ref="B2:H18"/>
  <sheetViews>
    <sheetView workbookViewId="0">
      <selection activeCell="B13" sqref="B13"/>
    </sheetView>
  </sheetViews>
  <sheetFormatPr baseColWidth="10" defaultColWidth="8.75" defaultRowHeight="14"/>
  <cols>
    <col min="4" max="4" width="14.4140625" customWidth="1"/>
    <col min="6" max="6" width="16.5" customWidth="1"/>
  </cols>
  <sheetData>
    <row r="2" spans="2:8">
      <c r="B2" t="s">
        <v>466</v>
      </c>
      <c r="D2" t="s">
        <v>619</v>
      </c>
      <c r="F2" s="9" t="s">
        <v>504</v>
      </c>
      <c r="G2" t="s">
        <v>619</v>
      </c>
    </row>
    <row r="3" spans="2:8">
      <c r="B3" t="s">
        <v>620</v>
      </c>
      <c r="D3" t="s">
        <v>621</v>
      </c>
      <c r="F3" t="s">
        <v>528</v>
      </c>
      <c r="G3" t="s">
        <v>619</v>
      </c>
    </row>
    <row r="4" spans="2:8">
      <c r="D4" t="s">
        <v>622</v>
      </c>
      <c r="F4" s="9" t="s">
        <v>467</v>
      </c>
      <c r="G4" t="s">
        <v>623</v>
      </c>
    </row>
    <row r="5" spans="2:8">
      <c r="F5" t="s">
        <v>607</v>
      </c>
      <c r="G5" t="s">
        <v>623</v>
      </c>
      <c r="H5" t="s">
        <v>624</v>
      </c>
    </row>
    <row r="6" spans="2:8">
      <c r="F6" s="9" t="s">
        <v>577</v>
      </c>
      <c r="G6" t="s">
        <v>623</v>
      </c>
    </row>
    <row r="7" spans="2:8">
      <c r="F7" s="9" t="s">
        <v>625</v>
      </c>
      <c r="G7" t="s">
        <v>622</v>
      </c>
    </row>
    <row r="8" spans="2:8">
      <c r="F8" s="9"/>
    </row>
    <row r="9" spans="2:8">
      <c r="F9" s="9"/>
    </row>
    <row r="10" spans="2:8">
      <c r="B10" t="s">
        <v>658</v>
      </c>
      <c r="F10" s="9"/>
    </row>
    <row r="11" spans="2:8">
      <c r="B11" t="s">
        <v>659</v>
      </c>
      <c r="F11" s="9"/>
    </row>
    <row r="12" spans="2:8">
      <c r="B12" t="s">
        <v>660</v>
      </c>
      <c r="F12" s="9"/>
    </row>
    <row r="13" spans="2:8">
      <c r="F13" s="9"/>
    </row>
    <row r="14" spans="2:8">
      <c r="F14" s="9"/>
    </row>
    <row r="15" spans="2:8">
      <c r="F15" s="9"/>
    </row>
    <row r="16" spans="2:8">
      <c r="F16" s="9"/>
    </row>
    <row r="17" spans="6:6">
      <c r="F17" s="9"/>
    </row>
    <row r="18" spans="6:6">
      <c r="F18"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85AE-D5B0-4660-9D47-C1275BAA6463}">
  <sheetPr>
    <tabColor theme="9"/>
  </sheetPr>
  <dimension ref="B1:AJ82"/>
  <sheetViews>
    <sheetView zoomScaleNormal="100" workbookViewId="0">
      <selection activeCell="B7" sqref="B7:C27"/>
    </sheetView>
  </sheetViews>
  <sheetFormatPr baseColWidth="10" defaultColWidth="8.75" defaultRowHeight="14"/>
  <cols>
    <col min="1" max="1" width="5" style="201" customWidth="1"/>
    <col min="2" max="2" width="34.83203125" style="201" bestFit="1" customWidth="1"/>
    <col min="3" max="4" width="8.75" style="201" customWidth="1"/>
    <col min="5" max="5" width="10.75" style="224" bestFit="1" customWidth="1"/>
    <col min="6" max="6" width="15.4140625" style="201" bestFit="1" customWidth="1"/>
    <col min="7" max="7" width="8.75" style="201"/>
    <col min="8" max="8" width="34.83203125" style="201" bestFit="1" customWidth="1"/>
    <col min="9" max="10" width="8.75" style="201"/>
    <col min="11" max="11" width="8.75" style="224"/>
    <col min="12" max="12" width="15.4140625" style="201" bestFit="1" customWidth="1"/>
    <col min="13" max="13" width="8.75" style="201"/>
    <col min="14" max="14" width="34.83203125" style="201" bestFit="1" customWidth="1"/>
    <col min="15" max="16" width="8.75" style="201"/>
    <col min="17" max="17" width="8.75" style="224"/>
    <col min="18" max="18" width="15.4140625" style="201" bestFit="1" customWidth="1"/>
    <col min="19" max="19" width="8.75" style="201"/>
    <col min="20" max="20" width="34.83203125" style="201" bestFit="1" customWidth="1"/>
    <col min="21" max="22" width="8.75" style="201"/>
    <col min="23" max="23" width="8.75" style="224"/>
    <col min="24" max="24" width="15.4140625" style="201" bestFit="1" customWidth="1"/>
    <col min="25" max="25" width="8.75" style="201"/>
    <col min="26" max="26" width="34.83203125" style="201" bestFit="1" customWidth="1"/>
    <col min="27" max="27" width="9.25" style="201" bestFit="1" customWidth="1"/>
    <col min="28" max="28" width="8.75" style="201"/>
    <col min="29" max="29" width="8.75" style="224"/>
    <col min="30" max="30" width="15.4140625" style="201" bestFit="1" customWidth="1"/>
    <col min="31" max="31" width="8.75" style="201"/>
    <col min="32" max="32" width="34.83203125" style="201" bestFit="1" customWidth="1"/>
    <col min="33" max="34" width="8.75" style="201"/>
    <col min="35" max="35" width="11.25" style="224" customWidth="1"/>
    <col min="36" max="36" width="15.4140625" style="201" bestFit="1" customWidth="1"/>
    <col min="37" max="16384" width="8.75" style="201"/>
  </cols>
  <sheetData>
    <row r="1" spans="2:36" s="222" customFormat="1" ht="21">
      <c r="B1" s="286" t="s">
        <v>285</v>
      </c>
      <c r="C1" s="213"/>
      <c r="D1" s="213"/>
      <c r="E1" s="221"/>
      <c r="K1" s="221"/>
      <c r="Q1" s="221"/>
      <c r="W1" s="221"/>
      <c r="AC1" s="221"/>
      <c r="AI1" s="221"/>
    </row>
    <row r="2" spans="2:36" ht="15.65" customHeight="1">
      <c r="B2" s="223"/>
      <c r="C2" s="1"/>
      <c r="D2" s="1"/>
    </row>
    <row r="3" spans="2:36" ht="15" thickBot="1">
      <c r="B3" s="201" t="s">
        <v>286</v>
      </c>
      <c r="C3" s="225"/>
      <c r="D3" s="226"/>
      <c r="E3" s="227"/>
      <c r="F3" s="225"/>
      <c r="H3" s="201" t="s">
        <v>287</v>
      </c>
      <c r="I3" s="375"/>
      <c r="J3" s="226"/>
      <c r="K3" s="227"/>
      <c r="L3" s="225"/>
      <c r="N3" s="201" t="s">
        <v>288</v>
      </c>
      <c r="O3" s="225"/>
      <c r="P3" s="226"/>
      <c r="Q3" s="227"/>
      <c r="R3" s="225"/>
      <c r="T3" s="201" t="s">
        <v>289</v>
      </c>
      <c r="U3" s="225"/>
      <c r="V3" s="226"/>
      <c r="W3" s="227"/>
      <c r="X3" s="225"/>
      <c r="Z3" s="201" t="s">
        <v>290</v>
      </c>
      <c r="AA3" s="225"/>
      <c r="AB3" s="226"/>
      <c r="AC3" s="227"/>
      <c r="AD3" s="225"/>
      <c r="AF3" s="201" t="s">
        <v>291</v>
      </c>
      <c r="AG3" s="225"/>
      <c r="AH3" s="226"/>
      <c r="AI3" s="227"/>
      <c r="AJ3" s="225"/>
    </row>
    <row r="4" spans="2:36">
      <c r="B4" s="214" t="s">
        <v>292</v>
      </c>
      <c r="C4" s="228"/>
      <c r="D4" s="228"/>
      <c r="E4" s="229"/>
      <c r="F4" s="230"/>
      <c r="H4" s="214" t="s">
        <v>293</v>
      </c>
      <c r="I4" s="228"/>
      <c r="J4" s="228"/>
      <c r="K4" s="229"/>
      <c r="L4" s="230"/>
      <c r="N4" s="214" t="s">
        <v>294</v>
      </c>
      <c r="O4" s="228"/>
      <c r="P4" s="228"/>
      <c r="Q4" s="229"/>
      <c r="R4" s="230"/>
      <c r="T4" s="214" t="s">
        <v>295</v>
      </c>
      <c r="U4" s="228"/>
      <c r="V4" s="228"/>
      <c r="W4" s="229"/>
      <c r="X4" s="230"/>
      <c r="Z4" s="215" t="s">
        <v>296</v>
      </c>
      <c r="AA4" s="216"/>
      <c r="AB4" s="228"/>
      <c r="AC4" s="229"/>
      <c r="AD4" s="230"/>
      <c r="AF4" s="214" t="s">
        <v>297</v>
      </c>
      <c r="AG4" s="228"/>
      <c r="AH4" s="228"/>
      <c r="AI4" s="229"/>
      <c r="AJ4" s="230"/>
    </row>
    <row r="5" spans="2:36" ht="28.5" thickBot="1">
      <c r="B5" s="217" t="s">
        <v>298</v>
      </c>
      <c r="C5" s="231"/>
      <c r="D5" s="232"/>
      <c r="E5" s="233"/>
      <c r="F5" s="234"/>
      <c r="H5" s="217" t="s">
        <v>299</v>
      </c>
      <c r="I5" s="231"/>
      <c r="J5" s="232"/>
      <c r="K5" s="233"/>
      <c r="L5" s="234"/>
      <c r="N5" s="217" t="s">
        <v>300</v>
      </c>
      <c r="O5" s="231"/>
      <c r="P5" s="232"/>
      <c r="Q5" s="233"/>
      <c r="R5" s="234"/>
      <c r="T5" s="217" t="s">
        <v>301</v>
      </c>
      <c r="U5" s="231"/>
      <c r="V5" s="232"/>
      <c r="W5" s="233"/>
      <c r="X5" s="234"/>
      <c r="Z5" s="218" t="s">
        <v>302</v>
      </c>
      <c r="AA5" s="219"/>
      <c r="AB5" s="232"/>
      <c r="AC5" s="233"/>
      <c r="AD5" s="234"/>
      <c r="AF5" s="220" t="s">
        <v>303</v>
      </c>
      <c r="AG5" s="231"/>
      <c r="AH5" s="232"/>
      <c r="AI5" s="233"/>
      <c r="AJ5" s="234"/>
    </row>
    <row r="6" spans="2:36" ht="14.5" thickBot="1">
      <c r="B6" s="235" t="s">
        <v>304</v>
      </c>
      <c r="C6" s="376" t="s">
        <v>305</v>
      </c>
      <c r="D6" s="235" t="s">
        <v>7</v>
      </c>
      <c r="E6" s="236" t="s">
        <v>306</v>
      </c>
      <c r="F6" s="235" t="s">
        <v>307</v>
      </c>
      <c r="H6" s="235" t="s">
        <v>304</v>
      </c>
      <c r="I6" s="235" t="s">
        <v>305</v>
      </c>
      <c r="J6" s="235" t="s">
        <v>7</v>
      </c>
      <c r="K6" s="236" t="s">
        <v>306</v>
      </c>
      <c r="L6" s="235" t="s">
        <v>307</v>
      </c>
      <c r="N6" s="235" t="s">
        <v>304</v>
      </c>
      <c r="O6" s="235" t="s">
        <v>305</v>
      </c>
      <c r="P6" s="235" t="s">
        <v>7</v>
      </c>
      <c r="Q6" s="236" t="s">
        <v>306</v>
      </c>
      <c r="R6" s="235" t="s">
        <v>307</v>
      </c>
      <c r="T6" s="235" t="s">
        <v>304</v>
      </c>
      <c r="U6" s="235" t="s">
        <v>305</v>
      </c>
      <c r="V6" s="235" t="s">
        <v>7</v>
      </c>
      <c r="W6" s="236" t="s">
        <v>306</v>
      </c>
      <c r="X6" s="235" t="s">
        <v>307</v>
      </c>
      <c r="Z6" s="235" t="s">
        <v>304</v>
      </c>
      <c r="AA6" s="235" t="s">
        <v>305</v>
      </c>
      <c r="AB6" s="235" t="s">
        <v>7</v>
      </c>
      <c r="AC6" s="236" t="s">
        <v>306</v>
      </c>
      <c r="AD6" s="235" t="s">
        <v>307</v>
      </c>
      <c r="AF6" s="235" t="s">
        <v>304</v>
      </c>
      <c r="AG6" s="235" t="s">
        <v>305</v>
      </c>
      <c r="AH6" s="235" t="s">
        <v>7</v>
      </c>
      <c r="AI6" s="236" t="s">
        <v>306</v>
      </c>
      <c r="AJ6" s="235" t="s">
        <v>307</v>
      </c>
    </row>
    <row r="7" spans="2:36" s="237" customFormat="1" ht="14.5" customHeight="1">
      <c r="B7" s="190" t="s">
        <v>308</v>
      </c>
      <c r="C7" s="377">
        <v>18.5</v>
      </c>
      <c r="D7" s="190" t="s">
        <v>309</v>
      </c>
      <c r="E7" s="381">
        <f>C7/$C$32</f>
        <v>0.2846153846153846</v>
      </c>
      <c r="F7" s="190" t="s">
        <v>310</v>
      </c>
      <c r="H7" s="190" t="s">
        <v>259</v>
      </c>
      <c r="I7" s="377">
        <f>(39.3+49.76)/2</f>
        <v>44.53</v>
      </c>
      <c r="J7" s="190" t="s">
        <v>309</v>
      </c>
      <c r="K7" s="374">
        <f>I7/$I$32</f>
        <v>0.65228695938770287</v>
      </c>
      <c r="L7" s="190" t="s">
        <v>311</v>
      </c>
      <c r="N7" s="190" t="s">
        <v>259</v>
      </c>
      <c r="O7" s="377">
        <f>(93.09+131)/2</f>
        <v>112.045</v>
      </c>
      <c r="P7" s="190" t="s">
        <v>309</v>
      </c>
      <c r="Q7" s="374">
        <f>O7/$O$32</f>
        <v>0.75361100368246714</v>
      </c>
      <c r="R7" s="190" t="s">
        <v>311</v>
      </c>
      <c r="T7" s="190" t="s">
        <v>259</v>
      </c>
      <c r="U7" s="377">
        <v>165</v>
      </c>
      <c r="V7" s="190" t="s">
        <v>309</v>
      </c>
      <c r="W7" s="374">
        <f>U7/$U$32</f>
        <v>0.80097087378640774</v>
      </c>
      <c r="X7" s="190" t="s">
        <v>311</v>
      </c>
      <c r="Z7" s="190" t="s">
        <v>259</v>
      </c>
      <c r="AA7" s="377">
        <v>642.25</v>
      </c>
      <c r="AB7" s="190" t="s">
        <v>309</v>
      </c>
      <c r="AC7" s="374">
        <f>AA7/$AA$32</f>
        <v>0.72058881278154574</v>
      </c>
      <c r="AD7" s="190" t="s">
        <v>311</v>
      </c>
      <c r="AF7" s="190" t="s">
        <v>259</v>
      </c>
      <c r="AG7" s="377">
        <v>980</v>
      </c>
      <c r="AH7" s="190" t="s">
        <v>309</v>
      </c>
      <c r="AI7" s="381">
        <f>AG7/$AG$32</f>
        <v>0.72949233288670534</v>
      </c>
      <c r="AJ7" s="190" t="s">
        <v>311</v>
      </c>
    </row>
    <row r="8" spans="2:36">
      <c r="B8" s="193" t="s">
        <v>312</v>
      </c>
      <c r="C8" s="378">
        <v>18.5</v>
      </c>
      <c r="D8" s="190" t="s">
        <v>309</v>
      </c>
      <c r="E8" s="381">
        <f>C8/$C$32</f>
        <v>0.2846153846153846</v>
      </c>
      <c r="F8" s="193" t="s">
        <v>310</v>
      </c>
      <c r="H8" s="193" t="s">
        <v>313</v>
      </c>
      <c r="I8" s="378">
        <f>(4.565+4.9)/2</f>
        <v>4.7324999999999999</v>
      </c>
      <c r="J8" s="190" t="s">
        <v>309</v>
      </c>
      <c r="K8" s="374">
        <f t="shared" ref="K8:K31" si="0">I8/$I$32</f>
        <v>6.9322884242135716E-2</v>
      </c>
      <c r="L8" s="193" t="s">
        <v>314</v>
      </c>
      <c r="N8" s="193" t="s">
        <v>313</v>
      </c>
      <c r="O8" s="378">
        <f>(4.31+9.3)/2</f>
        <v>6.8049999999999997</v>
      </c>
      <c r="P8" s="190" t="s">
        <v>309</v>
      </c>
      <c r="Q8" s="374">
        <f t="shared" ref="Q8:Q31" si="1">O8/$O$32</f>
        <v>4.5770207327941355E-2</v>
      </c>
      <c r="R8" s="193" t="s">
        <v>314</v>
      </c>
      <c r="T8" s="193" t="s">
        <v>313</v>
      </c>
      <c r="U8" s="378">
        <v>3</v>
      </c>
      <c r="V8" s="190" t="s">
        <v>309</v>
      </c>
      <c r="W8" s="374">
        <f t="shared" ref="W8:W31" si="2">U8/$U$32</f>
        <v>1.4563106796116505E-2</v>
      </c>
      <c r="X8" s="193" t="s">
        <v>314</v>
      </c>
      <c r="Z8" s="193" t="s">
        <v>313</v>
      </c>
      <c r="AA8" s="378">
        <v>55.5</v>
      </c>
      <c r="AB8" s="190" t="s">
        <v>309</v>
      </c>
      <c r="AC8" s="374">
        <f t="shared" ref="AC8:AC31" si="3">AA8/$AA$32</f>
        <v>6.2269644389841637E-2</v>
      </c>
      <c r="AD8" s="193" t="s">
        <v>314</v>
      </c>
      <c r="AF8" s="193" t="s">
        <v>313</v>
      </c>
      <c r="AG8" s="378">
        <v>58</v>
      </c>
      <c r="AH8" s="190" t="s">
        <v>309</v>
      </c>
      <c r="AI8" s="381">
        <f t="shared" ref="AI8:AI31" si="4">AG8/$AG$32</f>
        <v>4.317403602798868E-2</v>
      </c>
      <c r="AJ8" s="193" t="s">
        <v>314</v>
      </c>
    </row>
    <row r="9" spans="2:36">
      <c r="B9" s="193" t="s">
        <v>315</v>
      </c>
      <c r="C9" s="378">
        <f>4.98*23/11.217</f>
        <v>10.21128644022466</v>
      </c>
      <c r="D9" s="190" t="s">
        <v>309</v>
      </c>
      <c r="E9" s="381">
        <f t="shared" ref="E9:E25" si="5">C9/$C$32</f>
        <v>0.15709671446499476</v>
      </c>
      <c r="F9" s="193" t="s">
        <v>314</v>
      </c>
      <c r="H9" s="193" t="s">
        <v>316</v>
      </c>
      <c r="I9" s="378">
        <v>0.5</v>
      </c>
      <c r="J9" s="190" t="s">
        <v>309</v>
      </c>
      <c r="K9" s="374">
        <f t="shared" si="0"/>
        <v>7.3241293441242174E-3</v>
      </c>
      <c r="L9" s="193" t="s">
        <v>317</v>
      </c>
      <c r="N9" s="193" t="s">
        <v>316</v>
      </c>
      <c r="O9" s="378">
        <f>(1+2.1)/2</f>
        <v>1.55</v>
      </c>
      <c r="P9" s="190" t="s">
        <v>309</v>
      </c>
      <c r="Q9" s="374">
        <f t="shared" si="1"/>
        <v>1.0425249281162249E-2</v>
      </c>
      <c r="R9" s="193" t="s">
        <v>317</v>
      </c>
      <c r="T9" s="193" t="s">
        <v>316</v>
      </c>
      <c r="U9" s="378">
        <v>4</v>
      </c>
      <c r="V9" s="190" t="s">
        <v>309</v>
      </c>
      <c r="W9" s="374">
        <f t="shared" si="2"/>
        <v>1.9417475728155338E-2</v>
      </c>
      <c r="X9" s="193" t="s">
        <v>317</v>
      </c>
      <c r="Z9" s="193" t="s">
        <v>316</v>
      </c>
      <c r="AA9" s="378">
        <v>6.14</v>
      </c>
      <c r="AB9" s="190" t="s">
        <v>309</v>
      </c>
      <c r="AC9" s="374">
        <f t="shared" si="3"/>
        <v>6.8889300279932906E-3</v>
      </c>
      <c r="AD9" s="193" t="s">
        <v>317</v>
      </c>
      <c r="AF9" s="193" t="s">
        <v>316</v>
      </c>
      <c r="AG9" s="378">
        <v>18.66</v>
      </c>
      <c r="AH9" s="190" t="s">
        <v>309</v>
      </c>
      <c r="AI9" s="381">
        <f t="shared" si="4"/>
        <v>1.3890129522108084E-2</v>
      </c>
      <c r="AJ9" s="193" t="s">
        <v>317</v>
      </c>
    </row>
    <row r="10" spans="2:36">
      <c r="B10" s="193" t="s">
        <v>318</v>
      </c>
      <c r="C10" s="378">
        <f>0.399*23/11.217</f>
        <v>0.81813319069269852</v>
      </c>
      <c r="D10" s="190" t="s">
        <v>309</v>
      </c>
      <c r="E10" s="381">
        <f t="shared" si="5"/>
        <v>1.2586664472195362E-2</v>
      </c>
      <c r="F10" s="193" t="s">
        <v>317</v>
      </c>
      <c r="H10" s="193" t="s">
        <v>319</v>
      </c>
      <c r="I10" s="378">
        <f>(0.07+1.2)/2</f>
        <v>0.63500000000000001</v>
      </c>
      <c r="J10" s="190" t="s">
        <v>309</v>
      </c>
      <c r="K10" s="374">
        <f t="shared" ref="K10:K21" si="6">I10/$I$32</f>
        <v>9.301644267037756E-3</v>
      </c>
      <c r="L10" s="193" t="s">
        <v>314</v>
      </c>
      <c r="N10" s="193" t="s">
        <v>319</v>
      </c>
      <c r="O10" s="378">
        <f>(0.07+1.2)/2</f>
        <v>0.63500000000000001</v>
      </c>
      <c r="P10" s="190" t="s">
        <v>309</v>
      </c>
      <c r="Q10" s="374">
        <f t="shared" ref="Q10:Q21" si="7">O10/$O$32</f>
        <v>4.2709892216374378E-3</v>
      </c>
      <c r="R10" s="193" t="s">
        <v>314</v>
      </c>
      <c r="T10" s="193" t="s">
        <v>320</v>
      </c>
      <c r="U10" s="378">
        <v>4</v>
      </c>
      <c r="V10" s="190" t="s">
        <v>309</v>
      </c>
      <c r="W10" s="374">
        <f t="shared" ref="W10:W21" si="8">U10/$U$32</f>
        <v>1.9417475728155338E-2</v>
      </c>
      <c r="X10" s="193" t="s">
        <v>314</v>
      </c>
      <c r="Z10" s="193" t="s">
        <v>321</v>
      </c>
      <c r="AA10" s="378">
        <v>4.5999999999999996</v>
      </c>
      <c r="AB10" s="190" t="s">
        <v>309</v>
      </c>
      <c r="AC10" s="374">
        <f t="shared" si="3"/>
        <v>5.1610876431220087E-3</v>
      </c>
      <c r="AD10" s="193" t="s">
        <v>314</v>
      </c>
      <c r="AF10" s="193" t="s">
        <v>320</v>
      </c>
      <c r="AG10" s="378">
        <v>12</v>
      </c>
      <c r="AH10" s="190" t="s">
        <v>309</v>
      </c>
      <c r="AI10" s="381">
        <f t="shared" ref="AI10:AI28" si="9">AG10/$AG$32</f>
        <v>8.9325591782045549E-3</v>
      </c>
      <c r="AJ10" s="193" t="s">
        <v>314</v>
      </c>
    </row>
    <row r="11" spans="2:36">
      <c r="B11" s="193" t="s">
        <v>322</v>
      </c>
      <c r="C11" s="378">
        <f>0.006*23/11.217</f>
        <v>1.2302754747258626E-2</v>
      </c>
      <c r="D11" s="190" t="s">
        <v>309</v>
      </c>
      <c r="E11" s="381">
        <f t="shared" si="5"/>
        <v>1.8927314995782502E-4</v>
      </c>
      <c r="F11" s="193" t="s">
        <v>317</v>
      </c>
      <c r="H11" s="193" t="s">
        <v>261</v>
      </c>
      <c r="I11" s="378">
        <f>(2.5+2.5*9.1/9.5)/2</f>
        <v>2.4473684210526319</v>
      </c>
      <c r="J11" s="190" t="s">
        <v>309</v>
      </c>
      <c r="K11" s="374">
        <f t="shared" si="6"/>
        <v>3.5849685737029069E-2</v>
      </c>
      <c r="L11" s="193" t="s">
        <v>323</v>
      </c>
      <c r="N11" s="193" t="s">
        <v>261</v>
      </c>
      <c r="O11" s="378">
        <f>(3+3*18/11.5)/2</f>
        <v>3.847826086956522</v>
      </c>
      <c r="P11" s="190" t="s">
        <v>309</v>
      </c>
      <c r="Q11" s="374">
        <f t="shared" si="7"/>
        <v>2.5880352352955372E-2</v>
      </c>
      <c r="R11" s="193" t="s">
        <v>323</v>
      </c>
      <c r="T11" s="193" t="s">
        <v>319</v>
      </c>
      <c r="U11" s="378">
        <v>0</v>
      </c>
      <c r="V11" s="190" t="s">
        <v>309</v>
      </c>
      <c r="W11" s="374">
        <f t="shared" si="8"/>
        <v>0</v>
      </c>
      <c r="X11" s="193" t="s">
        <v>314</v>
      </c>
      <c r="Z11" s="193" t="s">
        <v>324</v>
      </c>
      <c r="AA11" s="378">
        <v>4.43</v>
      </c>
      <c r="AB11" s="190" t="s">
        <v>309</v>
      </c>
      <c r="AC11" s="374">
        <f t="shared" si="3"/>
        <v>4.9703517954414128E-3</v>
      </c>
      <c r="AD11" s="193" t="s">
        <v>314</v>
      </c>
      <c r="AF11" s="193" t="s">
        <v>319</v>
      </c>
      <c r="AG11" s="378">
        <v>0</v>
      </c>
      <c r="AH11" s="190" t="s">
        <v>309</v>
      </c>
      <c r="AI11" s="381">
        <f t="shared" si="9"/>
        <v>0</v>
      </c>
      <c r="AJ11" s="193" t="s">
        <v>314</v>
      </c>
    </row>
    <row r="12" spans="2:36">
      <c r="B12" s="193" t="s">
        <v>319</v>
      </c>
      <c r="C12" s="378">
        <f>0.751*23/11.217</f>
        <v>1.5398948025318713</v>
      </c>
      <c r="D12" s="190" t="s">
        <v>309</v>
      </c>
      <c r="E12" s="381">
        <f t="shared" si="5"/>
        <v>2.3690689269721097E-2</v>
      </c>
      <c r="F12" s="193" t="s">
        <v>314</v>
      </c>
      <c r="H12" s="193" t="s">
        <v>262</v>
      </c>
      <c r="I12" s="378">
        <f>(2.5+2.5*9.1/9.5)/2</f>
        <v>2.4473684210526319</v>
      </c>
      <c r="J12" s="190" t="s">
        <v>309</v>
      </c>
      <c r="K12" s="374">
        <f t="shared" si="6"/>
        <v>3.5849685737029069E-2</v>
      </c>
      <c r="L12" s="193" t="s">
        <v>311</v>
      </c>
      <c r="N12" s="193" t="s">
        <v>262</v>
      </c>
      <c r="O12" s="378">
        <f>(3+3*18/11.5)/2</f>
        <v>3.847826086956522</v>
      </c>
      <c r="P12" s="190" t="s">
        <v>309</v>
      </c>
      <c r="Q12" s="374">
        <f t="shared" si="7"/>
        <v>2.5880352352955372E-2</v>
      </c>
      <c r="R12" s="193" t="s">
        <v>311</v>
      </c>
      <c r="T12" s="193" t="s">
        <v>261</v>
      </c>
      <c r="U12" s="378">
        <v>5</v>
      </c>
      <c r="V12" s="190" t="s">
        <v>309</v>
      </c>
      <c r="W12" s="374">
        <f t="shared" si="8"/>
        <v>2.4271844660194174E-2</v>
      </c>
      <c r="X12" s="193" t="s">
        <v>323</v>
      </c>
      <c r="Z12" s="193" t="s">
        <v>319</v>
      </c>
      <c r="AA12" s="378">
        <v>5</v>
      </c>
      <c r="AB12" s="190" t="s">
        <v>309</v>
      </c>
      <c r="AC12" s="374">
        <f t="shared" si="3"/>
        <v>5.6098778729587063E-3</v>
      </c>
      <c r="AD12" s="193" t="s">
        <v>314</v>
      </c>
      <c r="AF12" s="193" t="s">
        <v>261</v>
      </c>
      <c r="AG12" s="378">
        <v>39.020000000000003</v>
      </c>
      <c r="AH12" s="190" t="s">
        <v>309</v>
      </c>
      <c r="AI12" s="381">
        <f t="shared" si="9"/>
        <v>2.9045704927795148E-2</v>
      </c>
      <c r="AJ12" s="193" t="s">
        <v>323</v>
      </c>
    </row>
    <row r="13" spans="2:36">
      <c r="B13" s="193" t="s">
        <v>324</v>
      </c>
      <c r="C13" s="378">
        <f>0.512*23/11.217</f>
        <v>1.0498350717660694</v>
      </c>
      <c r="D13" s="190" t="s">
        <v>309</v>
      </c>
      <c r="E13" s="381">
        <f t="shared" si="5"/>
        <v>1.6151308796401066E-2</v>
      </c>
      <c r="F13" s="193" t="s">
        <v>314</v>
      </c>
      <c r="H13" s="193" t="s">
        <v>263</v>
      </c>
      <c r="I13" s="378">
        <f>(2.25+2.25*9.1/9.5)/2</f>
        <v>2.2026315789473685</v>
      </c>
      <c r="J13" s="190" t="s">
        <v>309</v>
      </c>
      <c r="K13" s="374">
        <f t="shared" si="6"/>
        <v>3.2264717163326156E-2</v>
      </c>
      <c r="L13" s="193" t="s">
        <v>311</v>
      </c>
      <c r="N13" s="193" t="s">
        <v>263</v>
      </c>
      <c r="O13" s="378">
        <f>(2+2.5*18/11.5)/2</f>
        <v>2.9565217391304346</v>
      </c>
      <c r="P13" s="190" t="s">
        <v>309</v>
      </c>
      <c r="Q13" s="374">
        <f t="shared" si="7"/>
        <v>1.9885468474587178E-2</v>
      </c>
      <c r="R13" s="193" t="s">
        <v>311</v>
      </c>
      <c r="T13" s="193" t="s">
        <v>262</v>
      </c>
      <c r="U13" s="378">
        <v>4</v>
      </c>
      <c r="V13" s="190" t="s">
        <v>309</v>
      </c>
      <c r="W13" s="374">
        <f t="shared" si="8"/>
        <v>1.9417475728155338E-2</v>
      </c>
      <c r="X13" s="193" t="s">
        <v>311</v>
      </c>
      <c r="Z13" s="193" t="s">
        <v>261</v>
      </c>
      <c r="AA13" s="378">
        <v>16.824999999999999</v>
      </c>
      <c r="AB13" s="190" t="s">
        <v>309</v>
      </c>
      <c r="AC13" s="374">
        <f t="shared" si="3"/>
        <v>1.8877239042506044E-2</v>
      </c>
      <c r="AD13" s="193" t="s">
        <v>323</v>
      </c>
      <c r="AF13" s="193" t="s">
        <v>262</v>
      </c>
      <c r="AG13" s="378">
        <v>37.07</v>
      </c>
      <c r="AH13" s="190" t="s">
        <v>309</v>
      </c>
      <c r="AI13" s="381">
        <f t="shared" si="9"/>
        <v>2.7594164061336905E-2</v>
      </c>
      <c r="AJ13" s="193" t="s">
        <v>311</v>
      </c>
    </row>
    <row r="14" spans="2:36">
      <c r="B14" s="193" t="s">
        <v>325</v>
      </c>
      <c r="C14" s="378">
        <f>0.04*23/11.217</f>
        <v>8.2018364981724171E-2</v>
      </c>
      <c r="D14" s="190" t="s">
        <v>309</v>
      </c>
      <c r="E14" s="381">
        <f t="shared" si="5"/>
        <v>1.2618209997188334E-3</v>
      </c>
      <c r="F14" s="193" t="s">
        <v>314</v>
      </c>
      <c r="H14" s="193" t="s">
        <v>264</v>
      </c>
      <c r="I14" s="378">
        <f>(2.25+2.25*9.1/9.5)/2</f>
        <v>2.2026315789473685</v>
      </c>
      <c r="J14" s="190" t="s">
        <v>309</v>
      </c>
      <c r="K14" s="374">
        <f t="shared" si="6"/>
        <v>3.2264717163326156E-2</v>
      </c>
      <c r="L14" s="193" t="s">
        <v>323</v>
      </c>
      <c r="N14" s="193" t="s">
        <v>264</v>
      </c>
      <c r="O14" s="378">
        <f>(3+3*18/11.5)/2</f>
        <v>3.847826086956522</v>
      </c>
      <c r="P14" s="190" t="s">
        <v>309</v>
      </c>
      <c r="Q14" s="374">
        <f t="shared" si="7"/>
        <v>2.5880352352955372E-2</v>
      </c>
      <c r="R14" s="193" t="s">
        <v>323</v>
      </c>
      <c r="T14" s="193" t="s">
        <v>263</v>
      </c>
      <c r="U14" s="378">
        <v>3</v>
      </c>
      <c r="V14" s="190" t="s">
        <v>309</v>
      </c>
      <c r="W14" s="374">
        <f t="shared" si="8"/>
        <v>1.4563106796116505E-2</v>
      </c>
      <c r="X14" s="193" t="s">
        <v>311</v>
      </c>
      <c r="Z14" s="193" t="s">
        <v>262</v>
      </c>
      <c r="AA14" s="378">
        <v>15.625</v>
      </c>
      <c r="AB14" s="190" t="s">
        <v>309</v>
      </c>
      <c r="AC14" s="374">
        <f t="shared" si="3"/>
        <v>1.7530868352995957E-2</v>
      </c>
      <c r="AD14" s="193" t="s">
        <v>311</v>
      </c>
      <c r="AF14" s="193" t="s">
        <v>263</v>
      </c>
      <c r="AG14" s="378">
        <v>25.37</v>
      </c>
      <c r="AH14" s="190" t="s">
        <v>309</v>
      </c>
      <c r="AI14" s="381">
        <f t="shared" si="9"/>
        <v>1.8884918862587464E-2</v>
      </c>
      <c r="AJ14" s="193" t="s">
        <v>311</v>
      </c>
    </row>
    <row r="15" spans="2:36">
      <c r="B15" s="193" t="s">
        <v>326</v>
      </c>
      <c r="C15" s="378">
        <f>0.035*23/11.217</f>
        <v>7.1766069359008644E-2</v>
      </c>
      <c r="D15" s="190" t="s">
        <v>309</v>
      </c>
      <c r="E15" s="381">
        <f t="shared" si="5"/>
        <v>1.1040933747539792E-3</v>
      </c>
      <c r="F15" s="193" t="s">
        <v>314</v>
      </c>
      <c r="H15" s="193" t="s">
        <v>327</v>
      </c>
      <c r="I15" s="378">
        <f>(0+0.7)/2</f>
        <v>0.35</v>
      </c>
      <c r="J15" s="190" t="s">
        <v>309</v>
      </c>
      <c r="K15" s="374">
        <f t="shared" si="6"/>
        <v>5.1268905408869518E-3</v>
      </c>
      <c r="L15" s="193" t="s">
        <v>328</v>
      </c>
      <c r="N15" s="193" t="s">
        <v>327</v>
      </c>
      <c r="O15" s="378">
        <f>(0+4)/2</f>
        <v>2</v>
      </c>
      <c r="P15" s="190" t="s">
        <v>309</v>
      </c>
      <c r="Q15" s="374">
        <f t="shared" si="7"/>
        <v>1.3451934556338386E-2</v>
      </c>
      <c r="R15" s="193" t="s">
        <v>328</v>
      </c>
      <c r="T15" s="193" t="s">
        <v>264</v>
      </c>
      <c r="U15" s="378">
        <v>5</v>
      </c>
      <c r="V15" s="190" t="s">
        <v>309</v>
      </c>
      <c r="W15" s="374">
        <f t="shared" si="8"/>
        <v>2.4271844660194174E-2</v>
      </c>
      <c r="X15" s="193" t="s">
        <v>323</v>
      </c>
      <c r="Z15" s="193" t="s">
        <v>263</v>
      </c>
      <c r="AA15" s="378">
        <v>12.335000000000001</v>
      </c>
      <c r="AB15" s="190" t="s">
        <v>309</v>
      </c>
      <c r="AC15" s="374">
        <f t="shared" si="3"/>
        <v>1.3839568712589128E-2</v>
      </c>
      <c r="AD15" s="193" t="s">
        <v>311</v>
      </c>
      <c r="AF15" s="193" t="s">
        <v>264</v>
      </c>
      <c r="AG15" s="378">
        <v>44.88</v>
      </c>
      <c r="AH15" s="190" t="s">
        <v>309</v>
      </c>
      <c r="AI15" s="381">
        <f t="shared" si="9"/>
        <v>3.3407771326485036E-2</v>
      </c>
      <c r="AJ15" s="193" t="s">
        <v>323</v>
      </c>
    </row>
    <row r="16" spans="2:36">
      <c r="B16" s="193" t="s">
        <v>329</v>
      </c>
      <c r="C16" s="378">
        <f>0.403*23/11.217</f>
        <v>0.82633502719087093</v>
      </c>
      <c r="D16" s="190" t="s">
        <v>309</v>
      </c>
      <c r="E16" s="381">
        <f t="shared" si="5"/>
        <v>1.2712846572167246E-2</v>
      </c>
      <c r="F16" s="193" t="s">
        <v>314</v>
      </c>
      <c r="H16" s="193" t="s">
        <v>265</v>
      </c>
      <c r="I16" s="378">
        <f>(1.1+1.3)/2</f>
        <v>1.2000000000000002</v>
      </c>
      <c r="J16" s="190" t="s">
        <v>309</v>
      </c>
      <c r="K16" s="374">
        <f t="shared" si="6"/>
        <v>1.7577910425898124E-2</v>
      </c>
      <c r="L16" s="193" t="s">
        <v>323</v>
      </c>
      <c r="N16" s="193" t="s">
        <v>265</v>
      </c>
      <c r="O16" s="378">
        <f>(1.7+1.7*2/3.2)/2</f>
        <v>1.3812500000000001</v>
      </c>
      <c r="P16" s="190" t="s">
        <v>309</v>
      </c>
      <c r="Q16" s="374">
        <f t="shared" si="7"/>
        <v>9.2902423029711974E-3</v>
      </c>
      <c r="R16" s="193" t="s">
        <v>323</v>
      </c>
      <c r="T16" s="193" t="s">
        <v>265</v>
      </c>
      <c r="U16" s="378">
        <v>2.4</v>
      </c>
      <c r="V16" s="190" t="s">
        <v>309</v>
      </c>
      <c r="W16" s="374">
        <f t="shared" si="8"/>
        <v>1.1650485436893204E-2</v>
      </c>
      <c r="X16" s="193" t="s">
        <v>323</v>
      </c>
      <c r="Z16" s="193" t="s">
        <v>264</v>
      </c>
      <c r="AA16" s="378">
        <v>17.47</v>
      </c>
      <c r="AB16" s="190" t="s">
        <v>309</v>
      </c>
      <c r="AC16" s="374">
        <f t="shared" si="3"/>
        <v>1.9600913288117718E-2</v>
      </c>
      <c r="AD16" s="193" t="s">
        <v>323</v>
      </c>
      <c r="AF16" s="193" t="s">
        <v>330</v>
      </c>
      <c r="AG16" s="378">
        <v>4.72</v>
      </c>
      <c r="AH16" s="190" t="s">
        <v>309</v>
      </c>
      <c r="AI16" s="381">
        <f t="shared" si="9"/>
        <v>3.5134732767604583E-3</v>
      </c>
      <c r="AJ16" s="193" t="s">
        <v>323</v>
      </c>
    </row>
    <row r="17" spans="2:36">
      <c r="B17" s="193" t="s">
        <v>331</v>
      </c>
      <c r="C17" s="378">
        <f>0.524*23/11.217</f>
        <v>1.0744405812605866</v>
      </c>
      <c r="D17" s="190" t="s">
        <v>309</v>
      </c>
      <c r="E17" s="381">
        <f t="shared" si="5"/>
        <v>1.6529855096316718E-2</v>
      </c>
      <c r="F17" s="193" t="s">
        <v>314</v>
      </c>
      <c r="H17" s="193" t="s">
        <v>332</v>
      </c>
      <c r="I17" s="378">
        <f>(0+0.6)/2</f>
        <v>0.3</v>
      </c>
      <c r="J17" s="190" t="s">
        <v>309</v>
      </c>
      <c r="K17" s="374">
        <f t="shared" si="6"/>
        <v>4.3944776064745302E-3</v>
      </c>
      <c r="L17" s="193" t="s">
        <v>314</v>
      </c>
      <c r="N17" s="193" t="s">
        <v>332</v>
      </c>
      <c r="O17" s="378">
        <f>(1+1*2/3.2)/2</f>
        <v>0.8125</v>
      </c>
      <c r="P17" s="190" t="s">
        <v>309</v>
      </c>
      <c r="Q17" s="374">
        <f t="shared" si="7"/>
        <v>5.4648484135124686E-3</v>
      </c>
      <c r="R17" s="193" t="s">
        <v>314</v>
      </c>
      <c r="T17" s="193" t="s">
        <v>332</v>
      </c>
      <c r="U17" s="378">
        <v>1.4</v>
      </c>
      <c r="V17" s="190" t="s">
        <v>309</v>
      </c>
      <c r="W17" s="374">
        <f t="shared" si="8"/>
        <v>6.7961165048543689E-3</v>
      </c>
      <c r="X17" s="193" t="s">
        <v>314</v>
      </c>
      <c r="Z17" s="193" t="s">
        <v>330</v>
      </c>
      <c r="AA17" s="378">
        <v>4.72</v>
      </c>
      <c r="AB17" s="190" t="s">
        <v>309</v>
      </c>
      <c r="AC17" s="374">
        <f t="shared" si="3"/>
        <v>5.2957247120730177E-3</v>
      </c>
      <c r="AD17" s="193" t="s">
        <v>323</v>
      </c>
      <c r="AF17" s="193" t="s">
        <v>333</v>
      </c>
      <c r="AG17" s="378">
        <v>7.08</v>
      </c>
      <c r="AH17" s="190" t="s">
        <v>309</v>
      </c>
      <c r="AI17" s="381">
        <f t="shared" si="9"/>
        <v>5.2702099151406877E-3</v>
      </c>
      <c r="AJ17" s="193" t="s">
        <v>323</v>
      </c>
    </row>
    <row r="18" spans="2:36">
      <c r="B18" s="193" t="s">
        <v>334</v>
      </c>
      <c r="C18" s="378">
        <f>0.23*23/11.217</f>
        <v>0.47160559864491397</v>
      </c>
      <c r="D18" s="190" t="s">
        <v>309</v>
      </c>
      <c r="E18" s="381">
        <f t="shared" si="5"/>
        <v>7.2554707483832919E-3</v>
      </c>
      <c r="F18" s="193" t="s">
        <v>314</v>
      </c>
      <c r="H18" s="193" t="s">
        <v>335</v>
      </c>
      <c r="I18" s="378">
        <f>(0+0.3)/2</f>
        <v>0.15</v>
      </c>
      <c r="J18" s="190" t="s">
        <v>309</v>
      </c>
      <c r="K18" s="374">
        <f t="shared" si="6"/>
        <v>2.1972388032372651E-3</v>
      </c>
      <c r="L18" s="193" t="s">
        <v>314</v>
      </c>
      <c r="N18" s="193" t="s">
        <v>335</v>
      </c>
      <c r="O18" s="378">
        <f>(0.5+0.5*2/3.2)/2</f>
        <v>0.40625</v>
      </c>
      <c r="P18" s="190" t="s">
        <v>309</v>
      </c>
      <c r="Q18" s="374">
        <f t="shared" si="7"/>
        <v>2.7324242067562343E-3</v>
      </c>
      <c r="R18" s="193" t="s">
        <v>314</v>
      </c>
      <c r="T18" s="193" t="s">
        <v>335</v>
      </c>
      <c r="U18" s="378">
        <v>1.1000000000000001</v>
      </c>
      <c r="V18" s="190" t="s">
        <v>309</v>
      </c>
      <c r="W18" s="374">
        <f t="shared" si="8"/>
        <v>5.3398058252427192E-3</v>
      </c>
      <c r="X18" s="193" t="s">
        <v>314</v>
      </c>
      <c r="Z18" s="193" t="s">
        <v>333</v>
      </c>
      <c r="AA18" s="378">
        <v>7.08</v>
      </c>
      <c r="AB18" s="190" t="s">
        <v>309</v>
      </c>
      <c r="AC18" s="374">
        <f t="shared" si="3"/>
        <v>7.9435870681095269E-3</v>
      </c>
      <c r="AD18" s="193" t="s">
        <v>323</v>
      </c>
      <c r="AF18" s="193" t="s">
        <v>336</v>
      </c>
      <c r="AG18" s="378">
        <v>17.440000000000001</v>
      </c>
      <c r="AH18" s="190" t="s">
        <v>309</v>
      </c>
      <c r="AI18" s="381">
        <f t="shared" si="9"/>
        <v>1.2981986005657288E-2</v>
      </c>
      <c r="AJ18" s="193" t="s">
        <v>323</v>
      </c>
    </row>
    <row r="19" spans="2:36">
      <c r="B19" s="193" t="s">
        <v>337</v>
      </c>
      <c r="C19" s="378">
        <f>0.187*23/11.217</f>
        <v>0.38343585628956051</v>
      </c>
      <c r="D19" s="190" t="s">
        <v>309</v>
      </c>
      <c r="E19" s="381">
        <f t="shared" si="5"/>
        <v>5.8990131736855467E-3</v>
      </c>
      <c r="F19" s="193" t="s">
        <v>314</v>
      </c>
      <c r="H19" s="193" t="s">
        <v>338</v>
      </c>
      <c r="I19" s="378">
        <v>3.9</v>
      </c>
      <c r="J19" s="190" t="s">
        <v>309</v>
      </c>
      <c r="K19" s="374">
        <f t="shared" si="6"/>
        <v>5.7128208884168898E-2</v>
      </c>
      <c r="L19" s="193" t="s">
        <v>339</v>
      </c>
      <c r="N19" s="193" t="s">
        <v>338</v>
      </c>
      <c r="O19" s="378">
        <v>5</v>
      </c>
      <c r="P19" s="190" t="s">
        <v>309</v>
      </c>
      <c r="Q19" s="374">
        <f t="shared" si="7"/>
        <v>3.3629836390845963E-2</v>
      </c>
      <c r="R19" s="193" t="s">
        <v>339</v>
      </c>
      <c r="T19" s="193" t="s">
        <v>338</v>
      </c>
      <c r="U19" s="378">
        <v>2.1</v>
      </c>
      <c r="V19" s="190" t="s">
        <v>309</v>
      </c>
      <c r="W19" s="374">
        <f t="shared" si="8"/>
        <v>1.0194174757281554E-2</v>
      </c>
      <c r="X19" s="193" t="s">
        <v>339</v>
      </c>
      <c r="Z19" s="193" t="s">
        <v>336</v>
      </c>
      <c r="AA19" s="378">
        <v>17.440000000000001</v>
      </c>
      <c r="AB19" s="190" t="s">
        <v>309</v>
      </c>
      <c r="AC19" s="374">
        <f t="shared" si="3"/>
        <v>1.9567254020879967E-2</v>
      </c>
      <c r="AD19" s="193" t="s">
        <v>323</v>
      </c>
      <c r="AF19" s="193" t="s">
        <v>340</v>
      </c>
      <c r="AG19" s="378">
        <v>10.16</v>
      </c>
      <c r="AH19" s="190" t="s">
        <v>309</v>
      </c>
      <c r="AI19" s="381">
        <f t="shared" si="9"/>
        <v>7.5629001042131902E-3</v>
      </c>
      <c r="AJ19" s="193" t="s">
        <v>323</v>
      </c>
    </row>
    <row r="20" spans="2:36">
      <c r="B20" s="193" t="s">
        <v>341</v>
      </c>
      <c r="C20" s="378">
        <f>0.268*23/11.217</f>
        <v>0.54952304537755192</v>
      </c>
      <c r="D20" s="190" t="s">
        <v>309</v>
      </c>
      <c r="E20" s="381">
        <f t="shared" si="5"/>
        <v>8.4542006981161832E-3</v>
      </c>
      <c r="F20" s="193" t="s">
        <v>314</v>
      </c>
      <c r="H20" s="193" t="s">
        <v>342</v>
      </c>
      <c r="I20" s="378">
        <f>(2.04+3.3)/2</f>
        <v>2.67</v>
      </c>
      <c r="J20" s="190" t="s">
        <v>309</v>
      </c>
      <c r="K20" s="374">
        <f t="shared" si="6"/>
        <v>3.9110850697623323E-2</v>
      </c>
      <c r="L20" s="193" t="s">
        <v>314</v>
      </c>
      <c r="N20" s="193" t="s">
        <v>342</v>
      </c>
      <c r="O20" s="378">
        <f>(3.085+4)/2</f>
        <v>3.5425</v>
      </c>
      <c r="P20" s="190" t="s">
        <v>309</v>
      </c>
      <c r="Q20" s="374">
        <f t="shared" si="7"/>
        <v>2.3826739082914366E-2</v>
      </c>
      <c r="R20" s="193" t="s">
        <v>314</v>
      </c>
      <c r="T20" s="193" t="s">
        <v>343</v>
      </c>
      <c r="U20" s="378">
        <v>6</v>
      </c>
      <c r="V20" s="190" t="s">
        <v>309</v>
      </c>
      <c r="W20" s="374">
        <f t="shared" si="8"/>
        <v>2.9126213592233011E-2</v>
      </c>
      <c r="X20" s="193" t="s">
        <v>314</v>
      </c>
      <c r="Z20" s="193" t="s">
        <v>340</v>
      </c>
      <c r="AA20" s="378">
        <v>10.16</v>
      </c>
      <c r="AB20" s="190" t="s">
        <v>309</v>
      </c>
      <c r="AC20" s="374">
        <f t="shared" si="3"/>
        <v>1.1399271837852091E-2</v>
      </c>
      <c r="AD20" s="193" t="s">
        <v>323</v>
      </c>
      <c r="AF20" s="193" t="s">
        <v>344</v>
      </c>
      <c r="AG20" s="378">
        <v>4</v>
      </c>
      <c r="AH20" s="190" t="s">
        <v>309</v>
      </c>
      <c r="AI20" s="381">
        <f t="shared" si="9"/>
        <v>2.9775197260681848E-3</v>
      </c>
      <c r="AJ20" s="193" t="s">
        <v>323</v>
      </c>
    </row>
    <row r="21" spans="2:36">
      <c r="B21" s="193" t="s">
        <v>327</v>
      </c>
      <c r="C21" s="378">
        <f>0.273*23/11.217</f>
        <v>0.55977534100026749</v>
      </c>
      <c r="D21" s="190" t="s">
        <v>309</v>
      </c>
      <c r="E21" s="381">
        <f t="shared" si="5"/>
        <v>8.6119283230810389E-3</v>
      </c>
      <c r="F21" s="193" t="s">
        <v>328</v>
      </c>
      <c r="H21" s="193"/>
      <c r="I21" s="378"/>
      <c r="J21" s="193"/>
      <c r="K21" s="374">
        <f t="shared" si="6"/>
        <v>0</v>
      </c>
      <c r="L21" s="193"/>
      <c r="N21" s="193"/>
      <c r="O21" s="378"/>
      <c r="P21" s="193"/>
      <c r="Q21" s="374">
        <f t="shared" si="7"/>
        <v>0</v>
      </c>
      <c r="R21" s="193"/>
      <c r="T21" s="193"/>
      <c r="U21" s="193"/>
      <c r="V21" s="193"/>
      <c r="W21" s="374">
        <f t="shared" si="8"/>
        <v>0</v>
      </c>
      <c r="X21" s="193"/>
      <c r="Z21" s="193" t="s">
        <v>344</v>
      </c>
      <c r="AA21" s="378">
        <v>4</v>
      </c>
      <c r="AB21" s="190" t="s">
        <v>309</v>
      </c>
      <c r="AC21" s="374">
        <f t="shared" si="3"/>
        <v>4.487902298366965E-3</v>
      </c>
      <c r="AD21" s="193" t="s">
        <v>323</v>
      </c>
      <c r="AF21" s="193" t="s">
        <v>345</v>
      </c>
      <c r="AG21" s="378">
        <v>5</v>
      </c>
      <c r="AH21" s="190" t="s">
        <v>309</v>
      </c>
      <c r="AI21" s="381">
        <f t="shared" si="9"/>
        <v>3.7218996575852314E-3</v>
      </c>
      <c r="AJ21" s="193" t="s">
        <v>323</v>
      </c>
    </row>
    <row r="22" spans="2:36">
      <c r="B22" s="193" t="s">
        <v>346</v>
      </c>
      <c r="C22" s="378">
        <f>1.006*23/11.217</f>
        <v>2.0627618792903628</v>
      </c>
      <c r="D22" s="190" t="s">
        <v>309</v>
      </c>
      <c r="E22" s="381">
        <f t="shared" si="5"/>
        <v>3.1734798142928657E-2</v>
      </c>
      <c r="F22" s="193" t="s">
        <v>328</v>
      </c>
      <c r="H22" s="193"/>
      <c r="I22" s="378"/>
      <c r="J22" s="193"/>
      <c r="K22" s="374">
        <f t="shared" ref="K22" si="10">I22/$I$32</f>
        <v>0</v>
      </c>
      <c r="L22" s="193"/>
      <c r="N22" s="193"/>
      <c r="O22" s="378"/>
      <c r="P22" s="193"/>
      <c r="Q22" s="374">
        <f t="shared" si="1"/>
        <v>0</v>
      </c>
      <c r="R22" s="193"/>
      <c r="T22" s="193"/>
      <c r="U22" s="193"/>
      <c r="V22" s="193"/>
      <c r="W22" s="374">
        <f t="shared" si="2"/>
        <v>0</v>
      </c>
      <c r="X22" s="193"/>
      <c r="Z22" s="193" t="s">
        <v>345</v>
      </c>
      <c r="AA22" s="378">
        <v>5</v>
      </c>
      <c r="AB22" s="190" t="s">
        <v>309</v>
      </c>
      <c r="AC22" s="374">
        <f t="shared" si="3"/>
        <v>5.6098778729587063E-3</v>
      </c>
      <c r="AD22" s="193" t="s">
        <v>323</v>
      </c>
      <c r="AF22" s="193" t="s">
        <v>265</v>
      </c>
      <c r="AG22" s="378">
        <v>19.8</v>
      </c>
      <c r="AH22" s="190" t="s">
        <v>309</v>
      </c>
      <c r="AI22" s="381">
        <f t="shared" si="9"/>
        <v>1.4738722644037517E-2</v>
      </c>
      <c r="AJ22" s="193" t="s">
        <v>323</v>
      </c>
    </row>
    <row r="23" spans="2:36">
      <c r="B23" s="193" t="s">
        <v>347</v>
      </c>
      <c r="C23" s="378">
        <f>0.023*23/11.217</f>
        <v>4.71605598644914E-2</v>
      </c>
      <c r="D23" s="190" t="s">
        <v>309</v>
      </c>
      <c r="E23" s="381">
        <f t="shared" si="5"/>
        <v>7.2554707483832922E-4</v>
      </c>
      <c r="F23" s="193" t="s">
        <v>328</v>
      </c>
      <c r="H23" s="193"/>
      <c r="I23" s="378"/>
      <c r="J23" s="193"/>
      <c r="K23" s="374">
        <f t="shared" si="0"/>
        <v>0</v>
      </c>
      <c r="L23" s="193"/>
      <c r="N23" s="193"/>
      <c r="O23" s="378"/>
      <c r="P23" s="193"/>
      <c r="Q23" s="374">
        <f t="shared" si="1"/>
        <v>0</v>
      </c>
      <c r="R23" s="193"/>
      <c r="T23" s="193"/>
      <c r="U23" s="193"/>
      <c r="V23" s="193"/>
      <c r="W23" s="374">
        <f t="shared" si="2"/>
        <v>0</v>
      </c>
      <c r="X23" s="193"/>
      <c r="Z23" s="193" t="s">
        <v>265</v>
      </c>
      <c r="AA23" s="378">
        <v>16.3</v>
      </c>
      <c r="AB23" s="190" t="s">
        <v>309</v>
      </c>
      <c r="AC23" s="374">
        <f t="shared" si="3"/>
        <v>1.8288201865845382E-2</v>
      </c>
      <c r="AD23" s="193" t="s">
        <v>323</v>
      </c>
      <c r="AF23" s="193" t="s">
        <v>332</v>
      </c>
      <c r="AG23" s="378">
        <v>11.44</v>
      </c>
      <c r="AH23" s="190" t="s">
        <v>309</v>
      </c>
      <c r="AI23" s="381">
        <f t="shared" si="9"/>
        <v>8.5157064165550089E-3</v>
      </c>
      <c r="AJ23" s="193" t="s">
        <v>314</v>
      </c>
    </row>
    <row r="24" spans="2:36">
      <c r="B24" s="193" t="s">
        <v>348</v>
      </c>
      <c r="C24" s="378">
        <f>0.071*23/11.217</f>
        <v>0.14558259784256036</v>
      </c>
      <c r="D24" s="190" t="s">
        <v>309</v>
      </c>
      <c r="E24" s="381">
        <f t="shared" si="5"/>
        <v>2.2397322745009289E-3</v>
      </c>
      <c r="F24" s="193" t="s">
        <v>328</v>
      </c>
      <c r="H24" s="193"/>
      <c r="I24" s="378"/>
      <c r="J24" s="193"/>
      <c r="K24" s="374">
        <f t="shared" si="0"/>
        <v>0</v>
      </c>
      <c r="L24" s="193"/>
      <c r="N24" s="193"/>
      <c r="O24" s="378"/>
      <c r="P24" s="193"/>
      <c r="Q24" s="374">
        <f t="shared" si="1"/>
        <v>0</v>
      </c>
      <c r="R24" s="193"/>
      <c r="T24" s="193"/>
      <c r="U24" s="193"/>
      <c r="V24" s="193"/>
      <c r="W24" s="374">
        <f t="shared" si="2"/>
        <v>0</v>
      </c>
      <c r="X24" s="193"/>
      <c r="Z24" s="193" t="s">
        <v>332</v>
      </c>
      <c r="AA24" s="378">
        <v>8.64</v>
      </c>
      <c r="AB24" s="190" t="s">
        <v>309</v>
      </c>
      <c r="AC24" s="374">
        <f t="shared" si="3"/>
        <v>9.6938689644726437E-3</v>
      </c>
      <c r="AD24" s="193" t="s">
        <v>314</v>
      </c>
      <c r="AF24" s="193" t="s">
        <v>335</v>
      </c>
      <c r="AG24" s="378">
        <v>8.36</v>
      </c>
      <c r="AH24" s="190" t="s">
        <v>309</v>
      </c>
      <c r="AI24" s="381">
        <f t="shared" si="9"/>
        <v>6.2230162274825064E-3</v>
      </c>
      <c r="AJ24" s="193" t="s">
        <v>314</v>
      </c>
    </row>
    <row r="25" spans="2:36">
      <c r="B25" s="193" t="s">
        <v>349</v>
      </c>
      <c r="C25" s="378">
        <v>5</v>
      </c>
      <c r="D25" s="193" t="s">
        <v>309</v>
      </c>
      <c r="E25" s="381">
        <f t="shared" si="5"/>
        <v>7.6923076923076927E-2</v>
      </c>
      <c r="F25" s="193" t="s">
        <v>350</v>
      </c>
      <c r="H25" s="193"/>
      <c r="I25" s="378"/>
      <c r="J25" s="193"/>
      <c r="K25" s="374">
        <f t="shared" si="0"/>
        <v>0</v>
      </c>
      <c r="L25" s="193"/>
      <c r="N25" s="193"/>
      <c r="O25" s="378"/>
      <c r="P25" s="193"/>
      <c r="Q25" s="374">
        <f t="shared" si="1"/>
        <v>0</v>
      </c>
      <c r="R25" s="193"/>
      <c r="T25" s="193"/>
      <c r="U25" s="193"/>
      <c r="V25" s="193"/>
      <c r="W25" s="374">
        <f t="shared" si="2"/>
        <v>0</v>
      </c>
      <c r="X25" s="193"/>
      <c r="Z25" s="193" t="s">
        <v>335</v>
      </c>
      <c r="AA25" s="378">
        <v>5.17</v>
      </c>
      <c r="AB25" s="190" t="s">
        <v>309</v>
      </c>
      <c r="AC25" s="374">
        <f t="shared" si="3"/>
        <v>5.8006137206393022E-3</v>
      </c>
      <c r="AD25" s="193" t="s">
        <v>314</v>
      </c>
      <c r="AF25" s="193" t="s">
        <v>351</v>
      </c>
      <c r="AG25" s="378">
        <v>10</v>
      </c>
      <c r="AH25" s="190" t="s">
        <v>309</v>
      </c>
      <c r="AI25" s="381">
        <f t="shared" si="9"/>
        <v>7.4437993151704627E-3</v>
      </c>
      <c r="AJ25" s="193" t="s">
        <v>323</v>
      </c>
    </row>
    <row r="26" spans="2:36">
      <c r="B26" s="193" t="s">
        <v>352</v>
      </c>
      <c r="C26" s="378">
        <f>0.452*23/11.217</f>
        <v>0.92680752429348312</v>
      </c>
      <c r="D26" s="193" t="s">
        <v>309</v>
      </c>
      <c r="E26" s="381">
        <f t="shared" ref="E26:E28" si="11">C26/$C$32</f>
        <v>1.4258577296822818E-2</v>
      </c>
      <c r="F26" s="193" t="s">
        <v>350</v>
      </c>
      <c r="H26" s="193"/>
      <c r="I26" s="378"/>
      <c r="J26" s="193"/>
      <c r="K26" s="374">
        <f t="shared" si="0"/>
        <v>0</v>
      </c>
      <c r="L26" s="193"/>
      <c r="N26" s="193"/>
      <c r="O26" s="378"/>
      <c r="P26" s="193"/>
      <c r="Q26" s="374">
        <f t="shared" si="1"/>
        <v>0</v>
      </c>
      <c r="R26" s="193"/>
      <c r="T26" s="193"/>
      <c r="U26" s="193"/>
      <c r="V26" s="193"/>
      <c r="W26" s="374">
        <f t="shared" si="2"/>
        <v>0</v>
      </c>
      <c r="X26" s="193"/>
      <c r="Z26" s="193" t="s">
        <v>351</v>
      </c>
      <c r="AA26" s="378">
        <v>10</v>
      </c>
      <c r="AB26" s="190" t="s">
        <v>309</v>
      </c>
      <c r="AC26" s="374">
        <f t="shared" si="3"/>
        <v>1.1219755745917413E-2</v>
      </c>
      <c r="AD26" s="193" t="s">
        <v>323</v>
      </c>
      <c r="AF26" s="193" t="s">
        <v>338</v>
      </c>
      <c r="AG26" s="378">
        <v>15.4</v>
      </c>
      <c r="AH26" s="190" t="s">
        <v>309</v>
      </c>
      <c r="AI26" s="381">
        <f t="shared" si="9"/>
        <v>1.1463450945362512E-2</v>
      </c>
      <c r="AJ26" s="193" t="s">
        <v>339</v>
      </c>
    </row>
    <row r="27" spans="2:36">
      <c r="B27" s="193" t="s">
        <v>338</v>
      </c>
      <c r="C27" s="378">
        <f>0.448*23/11.217+0.609*23/11.217</f>
        <v>2.167335294642061</v>
      </c>
      <c r="D27" s="190" t="s">
        <v>309</v>
      </c>
      <c r="E27" s="381">
        <f t="shared" si="11"/>
        <v>3.3343619917570171E-2</v>
      </c>
      <c r="F27" s="193" t="s">
        <v>339</v>
      </c>
      <c r="H27" s="193"/>
      <c r="I27" s="378"/>
      <c r="J27" s="193"/>
      <c r="K27" s="374">
        <f t="shared" si="0"/>
        <v>0</v>
      </c>
      <c r="L27" s="193"/>
      <c r="N27" s="193"/>
      <c r="O27" s="378"/>
      <c r="P27" s="193"/>
      <c r="Q27" s="374">
        <f t="shared" si="1"/>
        <v>0</v>
      </c>
      <c r="R27" s="193"/>
      <c r="T27" s="193"/>
      <c r="U27" s="193"/>
      <c r="V27" s="193"/>
      <c r="W27" s="374">
        <f t="shared" si="2"/>
        <v>0</v>
      </c>
      <c r="X27" s="193"/>
      <c r="Z27" s="193" t="s">
        <v>338</v>
      </c>
      <c r="AA27" s="378">
        <v>9.8000000000000007</v>
      </c>
      <c r="AB27" s="190" t="s">
        <v>309</v>
      </c>
      <c r="AC27" s="374">
        <f t="shared" si="3"/>
        <v>1.0995360630999065E-2</v>
      </c>
      <c r="AD27" s="193" t="s">
        <v>339</v>
      </c>
      <c r="AF27" s="193" t="s">
        <v>343</v>
      </c>
      <c r="AG27" s="378">
        <v>15</v>
      </c>
      <c r="AH27" s="190" t="s">
        <v>309</v>
      </c>
      <c r="AI27" s="381">
        <f t="shared" si="9"/>
        <v>1.1165698972755694E-2</v>
      </c>
      <c r="AJ27" s="193" t="s">
        <v>314</v>
      </c>
    </row>
    <row r="28" spans="2:36">
      <c r="B28" s="193"/>
      <c r="C28" s="378"/>
      <c r="D28" s="193"/>
      <c r="E28" s="381">
        <f t="shared" si="11"/>
        <v>0</v>
      </c>
      <c r="F28" s="193"/>
      <c r="H28" s="193"/>
      <c r="I28" s="378"/>
      <c r="J28" s="193"/>
      <c r="K28" s="374">
        <f t="shared" si="0"/>
        <v>0</v>
      </c>
      <c r="L28" s="193"/>
      <c r="N28" s="193"/>
      <c r="O28" s="378"/>
      <c r="P28" s="193"/>
      <c r="Q28" s="374">
        <f t="shared" si="1"/>
        <v>0</v>
      </c>
      <c r="R28" s="193"/>
      <c r="T28" s="193"/>
      <c r="U28" s="193"/>
      <c r="V28" s="193"/>
      <c r="W28" s="374">
        <f t="shared" si="2"/>
        <v>0</v>
      </c>
      <c r="X28" s="193"/>
      <c r="Z28" s="193" t="s">
        <v>342</v>
      </c>
      <c r="AA28" s="378">
        <v>12.8</v>
      </c>
      <c r="AB28" s="190" t="s">
        <v>309</v>
      </c>
      <c r="AC28" s="374">
        <f t="shared" si="3"/>
        <v>1.4361287354774288E-2</v>
      </c>
      <c r="AD28" s="193" t="s">
        <v>314</v>
      </c>
      <c r="AF28" s="193"/>
      <c r="AG28" s="378"/>
      <c r="AH28" s="193"/>
      <c r="AI28" s="381">
        <f t="shared" si="9"/>
        <v>0</v>
      </c>
      <c r="AJ28" s="193"/>
    </row>
    <row r="29" spans="2:36">
      <c r="B29" s="193"/>
      <c r="C29" s="378"/>
      <c r="D29" s="193"/>
      <c r="E29" s="381">
        <f t="shared" ref="E29:E31" si="12">C29/$C$32</f>
        <v>0</v>
      </c>
      <c r="F29" s="193"/>
      <c r="H29" s="193"/>
      <c r="I29" s="378"/>
      <c r="J29" s="193"/>
      <c r="K29" s="374">
        <f t="shared" si="0"/>
        <v>0</v>
      </c>
      <c r="L29" s="193"/>
      <c r="N29" s="193"/>
      <c r="O29" s="378"/>
      <c r="P29" s="193"/>
      <c r="Q29" s="374">
        <f t="shared" si="1"/>
        <v>0</v>
      </c>
      <c r="R29" s="193"/>
      <c r="T29" s="193"/>
      <c r="U29" s="193"/>
      <c r="V29" s="193"/>
      <c r="W29" s="374">
        <f t="shared" si="2"/>
        <v>0</v>
      </c>
      <c r="X29" s="193"/>
      <c r="Z29" s="193"/>
      <c r="AA29" s="378"/>
      <c r="AB29" s="193"/>
      <c r="AC29" s="374">
        <f t="shared" si="3"/>
        <v>0</v>
      </c>
      <c r="AD29" s="193"/>
      <c r="AF29" s="193"/>
      <c r="AG29" s="378"/>
      <c r="AH29" s="193"/>
      <c r="AI29" s="381">
        <f t="shared" si="4"/>
        <v>0</v>
      </c>
      <c r="AJ29" s="193"/>
    </row>
    <row r="30" spans="2:36">
      <c r="B30" s="193"/>
      <c r="C30" s="378"/>
      <c r="D30" s="193"/>
      <c r="E30" s="381">
        <f t="shared" si="12"/>
        <v>0</v>
      </c>
      <c r="F30" s="193"/>
      <c r="H30" s="193"/>
      <c r="I30" s="378"/>
      <c r="J30" s="193"/>
      <c r="K30" s="374">
        <f t="shared" si="0"/>
        <v>0</v>
      </c>
      <c r="L30" s="193"/>
      <c r="N30" s="193"/>
      <c r="O30" s="378"/>
      <c r="P30" s="193"/>
      <c r="Q30" s="374">
        <f t="shared" si="1"/>
        <v>0</v>
      </c>
      <c r="R30" s="193"/>
      <c r="T30" s="193"/>
      <c r="U30" s="193"/>
      <c r="V30" s="193"/>
      <c r="W30" s="374">
        <f t="shared" si="2"/>
        <v>0</v>
      </c>
      <c r="X30" s="193"/>
      <c r="Z30" s="193"/>
      <c r="AA30" s="378"/>
      <c r="AB30" s="193"/>
      <c r="AC30" s="374">
        <f t="shared" si="3"/>
        <v>0</v>
      </c>
      <c r="AD30" s="193"/>
      <c r="AF30" s="193"/>
      <c r="AG30" s="378"/>
      <c r="AH30" s="193"/>
      <c r="AI30" s="381">
        <f t="shared" si="4"/>
        <v>0</v>
      </c>
      <c r="AJ30" s="193"/>
    </row>
    <row r="31" spans="2:36" ht="14.5" thickBot="1">
      <c r="B31" s="194"/>
      <c r="C31" s="379"/>
      <c r="D31" s="194"/>
      <c r="E31" s="381">
        <f t="shared" si="12"/>
        <v>0</v>
      </c>
      <c r="F31" s="194"/>
      <c r="H31" s="194"/>
      <c r="I31" s="379"/>
      <c r="J31" s="194"/>
      <c r="K31" s="374">
        <f t="shared" si="0"/>
        <v>0</v>
      </c>
      <c r="L31" s="194"/>
      <c r="N31" s="194"/>
      <c r="O31" s="379"/>
      <c r="P31" s="194"/>
      <c r="Q31" s="374">
        <f t="shared" si="1"/>
        <v>0</v>
      </c>
      <c r="R31" s="194"/>
      <c r="T31" s="194"/>
      <c r="U31" s="194"/>
      <c r="V31" s="194"/>
      <c r="W31" s="374">
        <f t="shared" si="2"/>
        <v>0</v>
      </c>
      <c r="X31" s="194"/>
      <c r="Z31" s="194"/>
      <c r="AA31" s="379"/>
      <c r="AB31" s="194"/>
      <c r="AC31" s="374">
        <f t="shared" si="3"/>
        <v>0</v>
      </c>
      <c r="AD31" s="194"/>
      <c r="AF31" s="194"/>
      <c r="AG31" s="379"/>
      <c r="AH31" s="194"/>
      <c r="AI31" s="381">
        <f t="shared" si="4"/>
        <v>0</v>
      </c>
      <c r="AJ31" s="194"/>
    </row>
    <row r="32" spans="2:36" ht="14.5" thickBot="1">
      <c r="B32" s="235" t="s">
        <v>353</v>
      </c>
      <c r="C32" s="380">
        <f>SUM(C7:C31)</f>
        <v>65</v>
      </c>
      <c r="D32" s="238" t="s">
        <v>309</v>
      </c>
      <c r="E32" s="239">
        <f>SUM(E7:E31)</f>
        <v>1</v>
      </c>
      <c r="F32" s="238"/>
      <c r="H32" s="235" t="s">
        <v>353</v>
      </c>
      <c r="I32" s="380">
        <f>SUM(I7:I31)</f>
        <v>68.267499999999998</v>
      </c>
      <c r="J32" s="238" t="s">
        <v>309</v>
      </c>
      <c r="K32" s="239">
        <f>SUM(K7:K31)</f>
        <v>1</v>
      </c>
      <c r="L32" s="238"/>
      <c r="N32" s="235" t="s">
        <v>353</v>
      </c>
      <c r="O32" s="380">
        <f>SUM(O7:O31)</f>
        <v>148.67749999999998</v>
      </c>
      <c r="P32" s="238" t="s">
        <v>309</v>
      </c>
      <c r="Q32" s="239">
        <f>SUM(Q7:Q31)</f>
        <v>1.0000000000000002</v>
      </c>
      <c r="R32" s="238"/>
      <c r="T32" s="235" t="s">
        <v>353</v>
      </c>
      <c r="U32" s="380">
        <f>SUM(U7:U27)</f>
        <v>206</v>
      </c>
      <c r="V32" s="238" t="s">
        <v>309</v>
      </c>
      <c r="W32" s="239">
        <f>SUM(W7:W31)</f>
        <v>0.99999999999999989</v>
      </c>
      <c r="X32" s="238"/>
      <c r="Z32" s="235" t="s">
        <v>353</v>
      </c>
      <c r="AA32" s="238">
        <f>SUM(AA7:AA31)</f>
        <v>891.28499999999997</v>
      </c>
      <c r="AB32" s="238" t="s">
        <v>309</v>
      </c>
      <c r="AC32" s="239">
        <f>SUM(AC7:AC31)</f>
        <v>1</v>
      </c>
      <c r="AD32" s="238"/>
      <c r="AF32" s="235" t="s">
        <v>353</v>
      </c>
      <c r="AG32" s="238">
        <f>SUM(AG7:AG31)</f>
        <v>1343.4</v>
      </c>
      <c r="AH32" s="238" t="s">
        <v>309</v>
      </c>
      <c r="AI32" s="239">
        <f>SUM(AI7:AI31)</f>
        <v>0.99999999999999978</v>
      </c>
      <c r="AJ32" s="238"/>
    </row>
    <row r="33" spans="2:36">
      <c r="B33" s="240"/>
      <c r="C33" s="225"/>
      <c r="D33" s="225"/>
      <c r="E33" s="227"/>
      <c r="F33" s="225"/>
      <c r="H33" s="240"/>
      <c r="I33" s="225"/>
      <c r="J33" s="225"/>
      <c r="K33" s="227"/>
      <c r="L33" s="225"/>
      <c r="N33" s="240"/>
      <c r="O33" s="225"/>
      <c r="P33" s="225"/>
      <c r="Q33" s="227"/>
      <c r="R33" s="225"/>
      <c r="T33" s="240"/>
      <c r="U33" s="225"/>
      <c r="V33" s="225"/>
      <c r="W33" s="227"/>
      <c r="X33" s="225"/>
      <c r="Z33" s="240"/>
      <c r="AA33" s="225"/>
      <c r="AB33" s="225"/>
      <c r="AC33" s="227"/>
      <c r="AD33" s="225"/>
      <c r="AF33" s="240"/>
      <c r="AG33" s="225"/>
      <c r="AH33" s="225"/>
      <c r="AI33" s="227"/>
      <c r="AJ33" s="225"/>
    </row>
    <row r="34" spans="2:36" ht="15" thickBot="1">
      <c r="B34" s="201" t="s">
        <v>354</v>
      </c>
      <c r="C34" s="225"/>
      <c r="D34" s="226"/>
      <c r="E34" s="227"/>
      <c r="F34" s="225"/>
      <c r="H34" s="201" t="s">
        <v>354</v>
      </c>
      <c r="I34" s="225"/>
      <c r="J34" s="226"/>
      <c r="K34" s="227"/>
      <c r="L34" s="225"/>
      <c r="N34" s="201" t="s">
        <v>354</v>
      </c>
      <c r="O34" s="225"/>
      <c r="P34" s="226"/>
      <c r="Q34" s="227"/>
      <c r="R34" s="225"/>
      <c r="T34" s="201" t="s">
        <v>354</v>
      </c>
      <c r="U34" s="225"/>
      <c r="V34" s="226"/>
      <c r="W34" s="227"/>
      <c r="X34" s="225"/>
      <c r="Z34" s="201" t="s">
        <v>354</v>
      </c>
      <c r="AA34" s="225"/>
      <c r="AB34" s="226"/>
      <c r="AC34" s="227"/>
      <c r="AD34" s="225"/>
      <c r="AF34" s="201" t="s">
        <v>354</v>
      </c>
      <c r="AG34" s="225"/>
      <c r="AH34" s="226"/>
      <c r="AI34" s="227"/>
      <c r="AJ34" s="225"/>
    </row>
    <row r="35" spans="2:36" ht="14.5" thickBot="1">
      <c r="B35" s="235" t="s">
        <v>355</v>
      </c>
      <c r="C35" s="235" t="s">
        <v>305</v>
      </c>
      <c r="D35" s="235" t="s">
        <v>7</v>
      </c>
      <c r="E35" s="236" t="s">
        <v>306</v>
      </c>
      <c r="F35" s="235" t="s">
        <v>307</v>
      </c>
      <c r="H35" s="235" t="s">
        <v>355</v>
      </c>
      <c r="I35" s="235" t="s">
        <v>305</v>
      </c>
      <c r="J35" s="235" t="s">
        <v>7</v>
      </c>
      <c r="K35" s="236" t="s">
        <v>306</v>
      </c>
      <c r="L35" s="235" t="s">
        <v>307</v>
      </c>
      <c r="N35" s="235" t="s">
        <v>355</v>
      </c>
      <c r="O35" s="235" t="s">
        <v>305</v>
      </c>
      <c r="P35" s="235" t="s">
        <v>7</v>
      </c>
      <c r="Q35" s="236" t="s">
        <v>306</v>
      </c>
      <c r="R35" s="235" t="s">
        <v>307</v>
      </c>
      <c r="T35" s="235" t="s">
        <v>355</v>
      </c>
      <c r="U35" s="235" t="s">
        <v>305</v>
      </c>
      <c r="V35" s="235" t="s">
        <v>7</v>
      </c>
      <c r="W35" s="236" t="s">
        <v>306</v>
      </c>
      <c r="X35" s="235" t="s">
        <v>307</v>
      </c>
      <c r="Z35" s="235" t="s">
        <v>355</v>
      </c>
      <c r="AA35" s="235" t="s">
        <v>305</v>
      </c>
      <c r="AB35" s="235" t="s">
        <v>7</v>
      </c>
      <c r="AC35" s="236" t="s">
        <v>306</v>
      </c>
      <c r="AD35" s="235" t="s">
        <v>307</v>
      </c>
      <c r="AF35" s="235" t="s">
        <v>355</v>
      </c>
      <c r="AG35" s="235" t="s">
        <v>305</v>
      </c>
      <c r="AH35" s="235" t="s">
        <v>7</v>
      </c>
      <c r="AI35" s="236" t="s">
        <v>306</v>
      </c>
      <c r="AJ35" s="235" t="s">
        <v>307</v>
      </c>
    </row>
    <row r="36" spans="2:36" s="237" customFormat="1" ht="14.5">
      <c r="B36" s="190" t="s">
        <v>356</v>
      </c>
      <c r="C36" s="377">
        <v>0.51800000000000002</v>
      </c>
      <c r="D36" s="190" t="s">
        <v>309</v>
      </c>
      <c r="E36" s="381">
        <f>C36/$C$46</f>
        <v>6.8238703728099079E-2</v>
      </c>
      <c r="F36" s="190" t="s">
        <v>314</v>
      </c>
      <c r="H36" s="190" t="s">
        <v>356</v>
      </c>
      <c r="I36" s="377">
        <f>(0.5+1.12)/2</f>
        <v>0.81</v>
      </c>
      <c r="J36" s="190" t="s">
        <v>309</v>
      </c>
      <c r="K36" s="381">
        <f>I36/$I$46</f>
        <v>5.5049612613837166E-2</v>
      </c>
      <c r="L36" s="190" t="s">
        <v>314</v>
      </c>
      <c r="N36" s="190" t="s">
        <v>356</v>
      </c>
      <c r="O36" s="377">
        <f>(0.5+0.688)/2</f>
        <v>0.59399999999999997</v>
      </c>
      <c r="P36" s="190" t="s">
        <v>309</v>
      </c>
      <c r="Q36" s="381">
        <f>O36/$O$46</f>
        <v>2.2676948919599909E-2</v>
      </c>
      <c r="R36" s="190" t="s">
        <v>314</v>
      </c>
      <c r="T36" s="190" t="s">
        <v>356</v>
      </c>
      <c r="U36" s="377">
        <f>(0.5+0.6)/2</f>
        <v>0.55000000000000004</v>
      </c>
      <c r="V36" s="190" t="s">
        <v>309</v>
      </c>
      <c r="W36" s="381">
        <f>U36/$U$46</f>
        <v>2.2200694276257368E-2</v>
      </c>
      <c r="X36" s="190" t="s">
        <v>314</v>
      </c>
      <c r="Z36" s="190" t="s">
        <v>356</v>
      </c>
      <c r="AA36" s="377">
        <v>2.94</v>
      </c>
      <c r="AB36" s="190" t="s">
        <v>309</v>
      </c>
      <c r="AC36" s="381">
        <f>AA36/$AA$46</f>
        <v>2.7871261316774896E-2</v>
      </c>
      <c r="AD36" s="190" t="s">
        <v>314</v>
      </c>
      <c r="AF36" s="190" t="s">
        <v>356</v>
      </c>
      <c r="AG36" s="377">
        <v>5.29</v>
      </c>
      <c r="AH36" s="190" t="s">
        <v>309</v>
      </c>
      <c r="AI36" s="381">
        <f>AG36/$AG$46</f>
        <v>2.2168210199891045E-2</v>
      </c>
      <c r="AJ36" s="190" t="s">
        <v>314</v>
      </c>
    </row>
    <row r="37" spans="2:36">
      <c r="B37" s="193" t="s">
        <v>357</v>
      </c>
      <c r="C37" s="378">
        <v>8.0000000000000002E-3</v>
      </c>
      <c r="D37" s="190" t="s">
        <v>309</v>
      </c>
      <c r="E37" s="241">
        <f t="shared" ref="E37:E45" si="13">C37/$C$46</f>
        <v>1.0538795942563563E-3</v>
      </c>
      <c r="F37" s="190" t="s">
        <v>314</v>
      </c>
      <c r="H37" s="193" t="s">
        <v>357</v>
      </c>
      <c r="I37" s="378">
        <v>0.25</v>
      </c>
      <c r="J37" s="190" t="s">
        <v>309</v>
      </c>
      <c r="K37" s="381">
        <f t="shared" ref="K37:K45" si="14">I37/$I$46</f>
        <v>1.6990621177110234E-2</v>
      </c>
      <c r="L37" s="190" t="s">
        <v>314</v>
      </c>
      <c r="N37" s="193" t="s">
        <v>357</v>
      </c>
      <c r="O37" s="378">
        <v>0</v>
      </c>
      <c r="P37" s="190" t="s">
        <v>309</v>
      </c>
      <c r="Q37" s="381">
        <f t="shared" ref="Q37:Q45" si="15">O37/$O$46</f>
        <v>0</v>
      </c>
      <c r="R37" s="190" t="s">
        <v>314</v>
      </c>
      <c r="T37" s="193" t="s">
        <v>357</v>
      </c>
      <c r="U37" s="378">
        <v>0</v>
      </c>
      <c r="V37" s="190" t="s">
        <v>309</v>
      </c>
      <c r="W37" s="381">
        <f t="shared" ref="W37:W45" si="16">U37/$U$46</f>
        <v>0</v>
      </c>
      <c r="X37" s="190" t="s">
        <v>314</v>
      </c>
      <c r="Z37" s="193" t="s">
        <v>357</v>
      </c>
      <c r="AA37" s="378">
        <f>(0.09+6)/2</f>
        <v>3.0449999999999999</v>
      </c>
      <c r="AB37" s="190" t="s">
        <v>309</v>
      </c>
      <c r="AC37" s="381">
        <f t="shared" ref="AC37:AC45" si="17">AA37/$AA$46</f>
        <v>2.8866663506659715E-2</v>
      </c>
      <c r="AD37" s="190" t="s">
        <v>314</v>
      </c>
      <c r="AF37" s="193" t="s">
        <v>357</v>
      </c>
      <c r="AG37" s="378">
        <f>(0.15+8)/2</f>
        <v>4.0750000000000002</v>
      </c>
      <c r="AH37" s="190" t="s">
        <v>309</v>
      </c>
      <c r="AI37" s="381">
        <f t="shared" ref="AI37:AI45" si="18">AG37/$AG$46</f>
        <v>1.7076645853413234E-2</v>
      </c>
      <c r="AJ37" s="190" t="s">
        <v>314</v>
      </c>
    </row>
    <row r="38" spans="2:36">
      <c r="B38" s="193" t="s">
        <v>358</v>
      </c>
      <c r="C38" s="378">
        <v>4.4999999999999998E-2</v>
      </c>
      <c r="D38" s="190" t="s">
        <v>309</v>
      </c>
      <c r="E38" s="241">
        <f t="shared" si="13"/>
        <v>5.9280727176920043E-3</v>
      </c>
      <c r="F38" s="190" t="s">
        <v>314</v>
      </c>
      <c r="H38" s="193" t="s">
        <v>358</v>
      </c>
      <c r="I38" s="378">
        <f>(0.308+1)/2</f>
        <v>0.65400000000000003</v>
      </c>
      <c r="J38" s="190" t="s">
        <v>309</v>
      </c>
      <c r="K38" s="381">
        <f t="shared" si="14"/>
        <v>4.4447464999320375E-2</v>
      </c>
      <c r="L38" s="190" t="s">
        <v>314</v>
      </c>
      <c r="N38" s="193" t="s">
        <v>358</v>
      </c>
      <c r="O38" s="378">
        <f>(0.5+1)/2</f>
        <v>0.75</v>
      </c>
      <c r="P38" s="190" t="s">
        <v>309</v>
      </c>
      <c r="Q38" s="381">
        <f t="shared" si="15"/>
        <v>2.8632511262121099E-2</v>
      </c>
      <c r="R38" s="190" t="s">
        <v>314</v>
      </c>
      <c r="T38" s="193" t="s">
        <v>358</v>
      </c>
      <c r="U38" s="378">
        <f>(0.077+1)/2</f>
        <v>0.53849999999999998</v>
      </c>
      <c r="V38" s="190" t="s">
        <v>309</v>
      </c>
      <c r="W38" s="381">
        <f t="shared" si="16"/>
        <v>2.1736497941390164E-2</v>
      </c>
      <c r="X38" s="190" t="s">
        <v>314</v>
      </c>
      <c r="Z38" s="193" t="s">
        <v>358</v>
      </c>
      <c r="AA38" s="378">
        <v>0</v>
      </c>
      <c r="AB38" s="190" t="s">
        <v>309</v>
      </c>
      <c r="AC38" s="381">
        <f t="shared" si="17"/>
        <v>0</v>
      </c>
      <c r="AD38" s="190" t="s">
        <v>314</v>
      </c>
      <c r="AF38" s="193" t="s">
        <v>358</v>
      </c>
      <c r="AG38" s="378">
        <v>0</v>
      </c>
      <c r="AH38" s="190" t="s">
        <v>309</v>
      </c>
      <c r="AI38" s="381">
        <f t="shared" si="18"/>
        <v>0</v>
      </c>
      <c r="AJ38" s="190" t="s">
        <v>314</v>
      </c>
    </row>
    <row r="39" spans="2:36">
      <c r="B39" s="193" t="s">
        <v>359</v>
      </c>
      <c r="C39" s="378">
        <v>4.5</v>
      </c>
      <c r="D39" s="190" t="s">
        <v>309</v>
      </c>
      <c r="E39" s="241">
        <f t="shared" si="13"/>
        <v>0.59280727176920045</v>
      </c>
      <c r="F39" s="193" t="s">
        <v>350</v>
      </c>
      <c r="H39" s="193" t="s">
        <v>360</v>
      </c>
      <c r="I39" s="378">
        <f>(0+0.75)/2</f>
        <v>0.375</v>
      </c>
      <c r="J39" s="190" t="s">
        <v>309</v>
      </c>
      <c r="K39" s="381">
        <f t="shared" si="14"/>
        <v>2.548593176566535E-2</v>
      </c>
      <c r="L39" s="190" t="s">
        <v>314</v>
      </c>
      <c r="N39" s="193" t="s">
        <v>360</v>
      </c>
      <c r="O39" s="378">
        <f>(0+1.2)/2</f>
        <v>0.6</v>
      </c>
      <c r="P39" s="190" t="s">
        <v>309</v>
      </c>
      <c r="Q39" s="381">
        <f t="shared" ref="Q39" si="19">O39/$I$46</f>
        <v>4.0777490825064565E-2</v>
      </c>
      <c r="R39" s="190" t="s">
        <v>314</v>
      </c>
      <c r="T39" s="193" t="s">
        <v>360</v>
      </c>
      <c r="U39" s="378">
        <f>(0+1.371)/2</f>
        <v>0.6855</v>
      </c>
      <c r="V39" s="190" t="s">
        <v>309</v>
      </c>
      <c r="W39" s="381">
        <f t="shared" ref="W39" si="20">U39/$I$46</f>
        <v>4.6588283267636262E-2</v>
      </c>
      <c r="X39" s="190" t="s">
        <v>314</v>
      </c>
      <c r="Z39" s="193" t="s">
        <v>359</v>
      </c>
      <c r="AA39" s="378">
        <f>(63.5+98)/2</f>
        <v>80.75</v>
      </c>
      <c r="AB39" s="190" t="s">
        <v>309</v>
      </c>
      <c r="AC39" s="381">
        <f t="shared" si="17"/>
        <v>0.76551168412570503</v>
      </c>
      <c r="AD39" s="193" t="s">
        <v>350</v>
      </c>
      <c r="AF39" s="193" t="s">
        <v>359</v>
      </c>
      <c r="AG39" s="378">
        <f>(125+270)/2</f>
        <v>197.5</v>
      </c>
      <c r="AH39" s="190" t="s">
        <v>309</v>
      </c>
      <c r="AI39" s="381">
        <f t="shared" si="18"/>
        <v>0.82764111804886231</v>
      </c>
      <c r="AJ39" s="193" t="s">
        <v>350</v>
      </c>
    </row>
    <row r="40" spans="2:36">
      <c r="B40" s="193" t="s">
        <v>361</v>
      </c>
      <c r="C40" s="378">
        <v>2.52</v>
      </c>
      <c r="D40" s="190" t="s">
        <v>309</v>
      </c>
      <c r="E40" s="241">
        <f t="shared" si="13"/>
        <v>0.33197207219075225</v>
      </c>
      <c r="F40" s="193" t="s">
        <v>350</v>
      </c>
      <c r="H40" s="193" t="s">
        <v>359</v>
      </c>
      <c r="I40" s="378">
        <f>(3+6)/2</f>
        <v>4.5</v>
      </c>
      <c r="J40" s="190" t="s">
        <v>309</v>
      </c>
      <c r="K40" s="381">
        <f t="shared" ref="K40:K42" si="21">I40/$I$46</f>
        <v>0.30583118118798425</v>
      </c>
      <c r="L40" s="193" t="s">
        <v>350</v>
      </c>
      <c r="N40" s="193" t="s">
        <v>359</v>
      </c>
      <c r="O40" s="378">
        <f>(12.25+18)/2</f>
        <v>15.125</v>
      </c>
      <c r="P40" s="190" t="s">
        <v>309</v>
      </c>
      <c r="Q40" s="381">
        <f t="shared" ref="Q40:Q42" si="22">O40/$O$46</f>
        <v>0.57742231045277548</v>
      </c>
      <c r="R40" s="193" t="s">
        <v>350</v>
      </c>
      <c r="T40" s="193" t="s">
        <v>359</v>
      </c>
      <c r="U40" s="378">
        <f>(13.5+18)/2</f>
        <v>15.75</v>
      </c>
      <c r="V40" s="190" t="s">
        <v>309</v>
      </c>
      <c r="W40" s="381">
        <f t="shared" ref="W40:W42" si="23">U40/$U$46</f>
        <v>0.63574715427464279</v>
      </c>
      <c r="X40" s="193" t="s">
        <v>350</v>
      </c>
      <c r="Z40" s="193" t="s">
        <v>361</v>
      </c>
      <c r="AA40" s="378">
        <f>(0+15.5)/2</f>
        <v>7.75</v>
      </c>
      <c r="AB40" s="190" t="s">
        <v>309</v>
      </c>
      <c r="AC40" s="381">
        <f t="shared" si="17"/>
        <v>7.3470161634355602E-2</v>
      </c>
      <c r="AD40" s="193" t="s">
        <v>350</v>
      </c>
      <c r="AF40" s="193" t="s">
        <v>361</v>
      </c>
      <c r="AG40" s="378">
        <f>(0+33.53)/2</f>
        <v>16.765000000000001</v>
      </c>
      <c r="AH40" s="190" t="s">
        <v>309</v>
      </c>
      <c r="AI40" s="381">
        <f t="shared" si="18"/>
        <v>7.0255206805514822E-2</v>
      </c>
      <c r="AJ40" s="193" t="s">
        <v>350</v>
      </c>
    </row>
    <row r="41" spans="2:36">
      <c r="B41" s="193" t="s">
        <v>362</v>
      </c>
      <c r="C41" s="378">
        <v>0</v>
      </c>
      <c r="D41" s="190" t="s">
        <v>309</v>
      </c>
      <c r="E41" s="241">
        <f t="shared" si="13"/>
        <v>0</v>
      </c>
      <c r="F41" s="193" t="s">
        <v>310</v>
      </c>
      <c r="H41" s="193" t="s">
        <v>361</v>
      </c>
      <c r="I41" s="378">
        <f>(2.75+13.5)/2</f>
        <v>8.125</v>
      </c>
      <c r="J41" s="190" t="s">
        <v>309</v>
      </c>
      <c r="K41" s="381">
        <f t="shared" si="21"/>
        <v>0.5521951882560826</v>
      </c>
      <c r="L41" s="193" t="s">
        <v>350</v>
      </c>
      <c r="N41" s="193" t="s">
        <v>361</v>
      </c>
      <c r="O41" s="378">
        <f>(4.75+13.5)/2</f>
        <v>9.125</v>
      </c>
      <c r="P41" s="190" t="s">
        <v>309</v>
      </c>
      <c r="Q41" s="381">
        <f t="shared" si="22"/>
        <v>0.34836222035580666</v>
      </c>
      <c r="R41" s="193" t="s">
        <v>350</v>
      </c>
      <c r="T41" s="193" t="s">
        <v>361</v>
      </c>
      <c r="U41" s="378">
        <f>(3.5+11)/2</f>
        <v>7.25</v>
      </c>
      <c r="V41" s="190" t="s">
        <v>309</v>
      </c>
      <c r="W41" s="381">
        <f t="shared" si="23"/>
        <v>0.2926455154597562</v>
      </c>
      <c r="X41" s="193" t="s">
        <v>350</v>
      </c>
      <c r="Z41" s="193" t="s">
        <v>362</v>
      </c>
      <c r="AA41" s="378">
        <v>11</v>
      </c>
      <c r="AB41" s="190" t="s">
        <v>309</v>
      </c>
      <c r="AC41" s="381">
        <f t="shared" si="17"/>
        <v>0.10428022941650472</v>
      </c>
      <c r="AD41" s="193" t="s">
        <v>310</v>
      </c>
      <c r="AF41" s="193" t="s">
        <v>362</v>
      </c>
      <c r="AG41" s="378">
        <v>15</v>
      </c>
      <c r="AH41" s="190" t="s">
        <v>309</v>
      </c>
      <c r="AI41" s="381">
        <f t="shared" si="18"/>
        <v>6.2858819092318649E-2</v>
      </c>
      <c r="AJ41" s="193" t="s">
        <v>310</v>
      </c>
    </row>
    <row r="42" spans="2:36">
      <c r="B42" s="193"/>
      <c r="C42" s="378"/>
      <c r="D42" s="193"/>
      <c r="E42" s="241">
        <f t="shared" si="13"/>
        <v>0</v>
      </c>
      <c r="F42" s="193"/>
      <c r="H42" s="193" t="s">
        <v>362</v>
      </c>
      <c r="I42" s="378">
        <v>0</v>
      </c>
      <c r="J42" s="190" t="s">
        <v>309</v>
      </c>
      <c r="K42" s="381">
        <f t="shared" si="21"/>
        <v>0</v>
      </c>
      <c r="L42" s="193" t="s">
        <v>310</v>
      </c>
      <c r="N42" s="193" t="s">
        <v>362</v>
      </c>
      <c r="O42" s="378">
        <v>0</v>
      </c>
      <c r="P42" s="190" t="s">
        <v>309</v>
      </c>
      <c r="Q42" s="381">
        <f t="shared" si="22"/>
        <v>0</v>
      </c>
      <c r="R42" s="193" t="s">
        <v>310</v>
      </c>
      <c r="T42" s="193" t="s">
        <v>362</v>
      </c>
      <c r="U42" s="378"/>
      <c r="V42" s="190" t="s">
        <v>309</v>
      </c>
      <c r="W42" s="381">
        <f t="shared" si="23"/>
        <v>0</v>
      </c>
      <c r="X42" s="193" t="s">
        <v>310</v>
      </c>
      <c r="Z42" s="193"/>
      <c r="AA42" s="378"/>
      <c r="AB42" s="193"/>
      <c r="AC42" s="381">
        <f t="shared" si="17"/>
        <v>0</v>
      </c>
      <c r="AD42" s="193"/>
      <c r="AF42" s="193"/>
      <c r="AG42" s="378"/>
      <c r="AH42" s="193"/>
      <c r="AI42" s="381">
        <f t="shared" si="18"/>
        <v>0</v>
      </c>
      <c r="AJ42" s="193"/>
    </row>
    <row r="43" spans="2:36">
      <c r="B43" s="193"/>
      <c r="C43" s="378"/>
      <c r="D43" s="193"/>
      <c r="E43" s="241">
        <f t="shared" si="13"/>
        <v>0</v>
      </c>
      <c r="F43" s="193"/>
      <c r="H43" s="193"/>
      <c r="I43" s="378"/>
      <c r="J43" s="193"/>
      <c r="K43" s="381">
        <f t="shared" si="14"/>
        <v>0</v>
      </c>
      <c r="L43" s="193"/>
      <c r="N43" s="193"/>
      <c r="O43" s="378"/>
      <c r="P43" s="193"/>
      <c r="Q43" s="381">
        <f t="shared" si="15"/>
        <v>0</v>
      </c>
      <c r="R43" s="193"/>
      <c r="T43" s="193"/>
      <c r="U43" s="378"/>
      <c r="V43" s="193"/>
      <c r="W43" s="381">
        <f t="shared" si="16"/>
        <v>0</v>
      </c>
      <c r="X43" s="193"/>
      <c r="Z43" s="193"/>
      <c r="AA43" s="378"/>
      <c r="AB43" s="193"/>
      <c r="AC43" s="381">
        <f t="shared" si="17"/>
        <v>0</v>
      </c>
      <c r="AD43" s="193"/>
      <c r="AF43" s="193"/>
      <c r="AG43" s="378"/>
      <c r="AH43" s="193"/>
      <c r="AI43" s="381">
        <f t="shared" si="18"/>
        <v>0</v>
      </c>
      <c r="AJ43" s="193"/>
    </row>
    <row r="44" spans="2:36">
      <c r="B44" s="193"/>
      <c r="C44" s="378"/>
      <c r="D44" s="193"/>
      <c r="E44" s="241">
        <f t="shared" si="13"/>
        <v>0</v>
      </c>
      <c r="F44" s="193"/>
      <c r="H44" s="193"/>
      <c r="I44" s="378"/>
      <c r="J44" s="193"/>
      <c r="K44" s="381">
        <f t="shared" si="14"/>
        <v>0</v>
      </c>
      <c r="L44" s="193"/>
      <c r="N44" s="193"/>
      <c r="O44" s="378"/>
      <c r="P44" s="193"/>
      <c r="Q44" s="381">
        <f t="shared" si="15"/>
        <v>0</v>
      </c>
      <c r="R44" s="193"/>
      <c r="T44" s="193"/>
      <c r="U44" s="378"/>
      <c r="V44" s="193"/>
      <c r="W44" s="381">
        <f t="shared" si="16"/>
        <v>0</v>
      </c>
      <c r="X44" s="193"/>
      <c r="Z44" s="193"/>
      <c r="AA44" s="378"/>
      <c r="AB44" s="193"/>
      <c r="AC44" s="381">
        <f t="shared" si="17"/>
        <v>0</v>
      </c>
      <c r="AD44" s="193"/>
      <c r="AF44" s="193"/>
      <c r="AG44" s="378"/>
      <c r="AH44" s="193"/>
      <c r="AI44" s="381">
        <f t="shared" si="18"/>
        <v>0</v>
      </c>
      <c r="AJ44" s="193"/>
    </row>
    <row r="45" spans="2:36" ht="14.5" thickBot="1">
      <c r="B45" s="194"/>
      <c r="C45" s="379"/>
      <c r="D45" s="194"/>
      <c r="E45" s="241">
        <f t="shared" si="13"/>
        <v>0</v>
      </c>
      <c r="F45" s="194"/>
      <c r="H45" s="194"/>
      <c r="I45" s="379"/>
      <c r="J45" s="194"/>
      <c r="K45" s="381">
        <f t="shared" si="14"/>
        <v>0</v>
      </c>
      <c r="L45" s="194"/>
      <c r="N45" s="194"/>
      <c r="O45" s="379"/>
      <c r="P45" s="194"/>
      <c r="Q45" s="381">
        <f t="shared" si="15"/>
        <v>0</v>
      </c>
      <c r="R45" s="194"/>
      <c r="T45" s="194"/>
      <c r="U45" s="379"/>
      <c r="V45" s="194"/>
      <c r="W45" s="381">
        <f t="shared" si="16"/>
        <v>0</v>
      </c>
      <c r="X45" s="194"/>
      <c r="Z45" s="194"/>
      <c r="AA45" s="379"/>
      <c r="AB45" s="194"/>
      <c r="AC45" s="381">
        <f t="shared" si="17"/>
        <v>0</v>
      </c>
      <c r="AD45" s="194"/>
      <c r="AF45" s="194"/>
      <c r="AG45" s="379"/>
      <c r="AH45" s="194"/>
      <c r="AI45" s="381">
        <f t="shared" si="18"/>
        <v>0</v>
      </c>
      <c r="AJ45" s="194"/>
    </row>
    <row r="46" spans="2:36" ht="14.5" thickBot="1">
      <c r="B46" s="235" t="s">
        <v>363</v>
      </c>
      <c r="C46" s="235">
        <f>SUM(C36:C45)</f>
        <v>7.5909999999999993</v>
      </c>
      <c r="D46" s="235" t="s">
        <v>309</v>
      </c>
      <c r="E46" s="239">
        <f>SUM(E36:E45)</f>
        <v>1.0000000000000002</v>
      </c>
      <c r="F46" s="235"/>
      <c r="H46" s="235" t="s">
        <v>363</v>
      </c>
      <c r="I46" s="376">
        <f>SUM(I36:I45)</f>
        <v>14.714</v>
      </c>
      <c r="J46" s="235" t="s">
        <v>309</v>
      </c>
      <c r="K46" s="239">
        <f>SUM(K36:K45)</f>
        <v>1</v>
      </c>
      <c r="L46" s="235"/>
      <c r="N46" s="235" t="s">
        <v>363</v>
      </c>
      <c r="O46" s="235">
        <f>SUM(O36:O45)</f>
        <v>26.193999999999999</v>
      </c>
      <c r="P46" s="235" t="s">
        <v>309</v>
      </c>
      <c r="Q46" s="239">
        <f>SUM(Q36:Q45)</f>
        <v>1.0178714818153676</v>
      </c>
      <c r="R46" s="235"/>
      <c r="T46" s="235" t="s">
        <v>363</v>
      </c>
      <c r="U46" s="235">
        <f>SUM(U36:U45)</f>
        <v>24.774000000000001</v>
      </c>
      <c r="V46" s="235" t="s">
        <v>309</v>
      </c>
      <c r="W46" s="239">
        <f>SUM(W36:W45)</f>
        <v>1.0189181452196827</v>
      </c>
      <c r="X46" s="235"/>
      <c r="Z46" s="235" t="s">
        <v>363</v>
      </c>
      <c r="AA46" s="235">
        <f>SUM(AA36:AA45)</f>
        <v>105.485</v>
      </c>
      <c r="AB46" s="235" t="s">
        <v>309</v>
      </c>
      <c r="AC46" s="239">
        <f>SUM(AC36:AC45)</f>
        <v>1</v>
      </c>
      <c r="AD46" s="235"/>
      <c r="AF46" s="235" t="s">
        <v>363</v>
      </c>
      <c r="AG46" s="376">
        <f>SUM(AG36:AG45)</f>
        <v>238.63</v>
      </c>
      <c r="AH46" s="235" t="s">
        <v>309</v>
      </c>
      <c r="AI46" s="239">
        <f>SUM(AI36:AI45)</f>
        <v>1</v>
      </c>
      <c r="AJ46" s="235"/>
    </row>
    <row r="47" spans="2:36" ht="14.5" thickBot="1"/>
    <row r="48" spans="2:36" ht="14.5" thickBot="1">
      <c r="B48" s="242" t="s">
        <v>364</v>
      </c>
      <c r="C48" s="243">
        <f>C32+C46</f>
        <v>72.590999999999994</v>
      </c>
      <c r="D48" s="244" t="s">
        <v>309</v>
      </c>
      <c r="H48" s="242" t="s">
        <v>364</v>
      </c>
      <c r="I48" s="243">
        <f>I32+I46</f>
        <v>82.981499999999997</v>
      </c>
      <c r="J48" s="244" t="s">
        <v>309</v>
      </c>
      <c r="N48" s="242" t="s">
        <v>364</v>
      </c>
      <c r="O48" s="243">
        <f>O32+O46</f>
        <v>174.87149999999997</v>
      </c>
      <c r="P48" s="244" t="s">
        <v>309</v>
      </c>
      <c r="T48" s="242" t="s">
        <v>364</v>
      </c>
      <c r="U48" s="537">
        <f>U32+U46</f>
        <v>230.774</v>
      </c>
      <c r="V48" s="244" t="s">
        <v>309</v>
      </c>
      <c r="Z48" s="242" t="s">
        <v>364</v>
      </c>
      <c r="AA48" s="243">
        <f>AA32+AA46</f>
        <v>996.77</v>
      </c>
      <c r="AB48" s="244" t="s">
        <v>309</v>
      </c>
      <c r="AF48" s="242" t="s">
        <v>364</v>
      </c>
      <c r="AG48" s="243">
        <f>AG32+AG46</f>
        <v>1582.0300000000002</v>
      </c>
      <c r="AH48" s="244" t="s">
        <v>309</v>
      </c>
    </row>
    <row r="49" spans="2:35">
      <c r="B49" s="240"/>
      <c r="C49" s="225"/>
      <c r="D49" s="240"/>
      <c r="H49" s="240"/>
      <c r="I49" s="225"/>
      <c r="J49" s="240"/>
      <c r="N49" s="240"/>
      <c r="O49" s="225"/>
      <c r="P49" s="240"/>
      <c r="T49" s="240"/>
      <c r="U49" s="225"/>
      <c r="V49" s="240"/>
      <c r="Z49" s="240"/>
      <c r="AA49" s="225"/>
      <c r="AB49" s="240"/>
      <c r="AF49" s="240"/>
      <c r="AG49" s="225"/>
      <c r="AH49" s="240"/>
    </row>
    <row r="51" spans="2:35" s="222" customFormat="1" ht="21">
      <c r="B51" s="286" t="s">
        <v>365</v>
      </c>
      <c r="C51" s="213"/>
      <c r="D51" s="213"/>
      <c r="E51" s="221"/>
      <c r="K51" s="221"/>
      <c r="Q51" s="221"/>
      <c r="W51" s="221"/>
      <c r="AC51" s="221"/>
      <c r="AI51" s="221"/>
    </row>
    <row r="52" spans="2:35" ht="14.5" thickBot="1"/>
    <row r="53" spans="2:35">
      <c r="B53" s="214" t="str">
        <f t="shared" ref="B53:B54" si="24">B4</f>
        <v>Base case 1</v>
      </c>
      <c r="C53" s="228"/>
      <c r="D53" s="230"/>
      <c r="H53" s="214" t="str">
        <f t="shared" ref="H53:H54" si="25">H4</f>
        <v>Base case 2</v>
      </c>
      <c r="I53" s="228"/>
      <c r="J53" s="230"/>
      <c r="N53" s="214" t="str">
        <f t="shared" ref="N53:N54" si="26">N4</f>
        <v>Base case 3</v>
      </c>
      <c r="O53" s="228"/>
      <c r="P53" s="230"/>
      <c r="T53" s="214" t="str">
        <f t="shared" ref="T53:T54" si="27">T4</f>
        <v>Base case 4</v>
      </c>
      <c r="U53" s="228"/>
      <c r="V53" s="230"/>
      <c r="Z53" s="215" t="str">
        <f t="shared" ref="Z53:Z54" si="28">Z4</f>
        <v>Base case 5</v>
      </c>
      <c r="AA53" s="216"/>
      <c r="AB53" s="230"/>
      <c r="AF53" s="214" t="str">
        <f t="shared" ref="AF53:AF54" si="29">AF4</f>
        <v>Base case 6</v>
      </c>
      <c r="AG53" s="228"/>
      <c r="AH53" s="230"/>
    </row>
    <row r="54" spans="2:35" ht="28.5" thickBot="1">
      <c r="B54" s="217" t="str">
        <f t="shared" si="24"/>
        <v>Undercounter water-change dishwashers</v>
      </c>
      <c r="C54" s="231"/>
      <c r="D54" s="245"/>
      <c r="H54" s="217" t="str">
        <f t="shared" si="25"/>
        <v>Undercounter one-tank dishwashers</v>
      </c>
      <c r="I54" s="231"/>
      <c r="J54" s="245"/>
      <c r="N54" s="217" t="str">
        <f t="shared" si="26"/>
        <v>Hood-type dishwashers</v>
      </c>
      <c r="O54" s="231"/>
      <c r="P54" s="245"/>
      <c r="T54" s="217" t="str">
        <f t="shared" si="27"/>
        <v>Utensil / pot dishwashers</v>
      </c>
      <c r="U54" s="231"/>
      <c r="V54" s="245"/>
      <c r="Z54" s="218" t="str">
        <f t="shared" si="28"/>
        <v>One-tank conveyor-type dishwashers</v>
      </c>
      <c r="AA54" s="219"/>
      <c r="AB54" s="245"/>
      <c r="AF54" s="220" t="str">
        <f t="shared" si="29"/>
        <v>Multi-tank conveyor-type dishwashers</v>
      </c>
      <c r="AG54" s="231"/>
      <c r="AH54" s="245"/>
    </row>
    <row r="55" spans="2:35" ht="14.5" thickBot="1">
      <c r="B55" s="246" t="s">
        <v>366</v>
      </c>
      <c r="C55" s="246" t="s">
        <v>305</v>
      </c>
      <c r="D55" s="246" t="s">
        <v>7</v>
      </c>
      <c r="H55" s="246" t="s">
        <v>366</v>
      </c>
      <c r="I55" s="246" t="s">
        <v>305</v>
      </c>
      <c r="J55" s="246" t="s">
        <v>7</v>
      </c>
      <c r="N55" s="246" t="s">
        <v>366</v>
      </c>
      <c r="O55" s="246" t="s">
        <v>305</v>
      </c>
      <c r="P55" s="246" t="s">
        <v>7</v>
      </c>
      <c r="T55" s="246" t="s">
        <v>366</v>
      </c>
      <c r="U55" s="246" t="s">
        <v>305</v>
      </c>
      <c r="V55" s="246" t="s">
        <v>7</v>
      </c>
      <c r="Z55" s="246" t="s">
        <v>366</v>
      </c>
      <c r="AA55" s="246" t="s">
        <v>305</v>
      </c>
      <c r="AB55" s="246" t="s">
        <v>7</v>
      </c>
      <c r="AF55" s="246" t="s">
        <v>366</v>
      </c>
      <c r="AG55" s="246" t="s">
        <v>305</v>
      </c>
      <c r="AH55" s="246" t="s">
        <v>7</v>
      </c>
    </row>
    <row r="56" spans="2:35">
      <c r="B56" s="247" t="s">
        <v>367</v>
      </c>
      <c r="C56" s="247">
        <f>I56</f>
        <v>30</v>
      </c>
      <c r="D56" s="247" t="s">
        <v>368</v>
      </c>
      <c r="E56" s="224" t="s">
        <v>369</v>
      </c>
      <c r="H56" s="247" t="s">
        <v>367</v>
      </c>
      <c r="I56" s="247">
        <v>30</v>
      </c>
      <c r="J56" s="247" t="s">
        <v>368</v>
      </c>
      <c r="K56" s="224" t="s">
        <v>369</v>
      </c>
      <c r="N56" s="247" t="s">
        <v>367</v>
      </c>
      <c r="O56" s="247">
        <v>36</v>
      </c>
      <c r="P56" s="247" t="s">
        <v>368</v>
      </c>
      <c r="Q56" s="224" t="s">
        <v>369</v>
      </c>
      <c r="T56" s="247" t="s">
        <v>367</v>
      </c>
      <c r="U56" s="247">
        <v>40</v>
      </c>
      <c r="V56" s="247" t="s">
        <v>368</v>
      </c>
      <c r="W56" s="224" t="s">
        <v>369</v>
      </c>
      <c r="Z56" s="247" t="s">
        <v>367</v>
      </c>
      <c r="AA56" s="247">
        <v>250</v>
      </c>
      <c r="AB56" s="247" t="s">
        <v>368</v>
      </c>
      <c r="AC56" s="224" t="s">
        <v>369</v>
      </c>
      <c r="AF56" s="247" t="s">
        <v>367</v>
      </c>
      <c r="AG56" s="247">
        <v>300</v>
      </c>
      <c r="AH56" s="247" t="s">
        <v>368</v>
      </c>
      <c r="AI56" s="224" t="s">
        <v>369</v>
      </c>
    </row>
    <row r="57" spans="2:35" ht="14.5" thickBot="1">
      <c r="B57" s="248" t="s">
        <v>370</v>
      </c>
      <c r="C57" s="248"/>
      <c r="D57" s="248"/>
      <c r="H57" s="248" t="s">
        <v>370</v>
      </c>
      <c r="I57" s="248"/>
      <c r="J57" s="248"/>
      <c r="N57" s="248" t="s">
        <v>370</v>
      </c>
      <c r="O57" s="248"/>
      <c r="P57" s="248"/>
      <c r="T57" s="248" t="s">
        <v>370</v>
      </c>
      <c r="U57" s="248"/>
      <c r="V57" s="248"/>
      <c r="Z57" s="248" t="s">
        <v>370</v>
      </c>
      <c r="AA57" s="248"/>
      <c r="AB57" s="248"/>
      <c r="AF57" s="248" t="s">
        <v>370</v>
      </c>
      <c r="AG57" s="248"/>
      <c r="AH57" s="248"/>
    </row>
    <row r="58" spans="2:35" ht="14.5" thickBot="1">
      <c r="B58" s="249"/>
      <c r="C58" s="249"/>
      <c r="D58" s="249"/>
      <c r="H58" s="249"/>
      <c r="I58" s="249"/>
      <c r="J58" s="249"/>
      <c r="N58" s="249"/>
      <c r="O58" s="249"/>
      <c r="P58" s="249"/>
      <c r="T58" s="249"/>
      <c r="U58" s="249"/>
      <c r="V58" s="249"/>
      <c r="Z58" s="249"/>
      <c r="AA58" s="249"/>
      <c r="AB58" s="249"/>
      <c r="AF58" s="249"/>
      <c r="AG58" s="249"/>
      <c r="AH58" s="249"/>
    </row>
    <row r="59" spans="2:35" ht="28.5" thickBot="1">
      <c r="B59" s="246" t="s">
        <v>371</v>
      </c>
      <c r="C59" s="246" t="s">
        <v>305</v>
      </c>
      <c r="D59" s="246" t="s">
        <v>7</v>
      </c>
      <c r="H59" s="246" t="s">
        <v>371</v>
      </c>
      <c r="I59" s="246" t="s">
        <v>305</v>
      </c>
      <c r="J59" s="246" t="s">
        <v>7</v>
      </c>
      <c r="N59" s="246" t="s">
        <v>371</v>
      </c>
      <c r="O59" s="246" t="s">
        <v>305</v>
      </c>
      <c r="P59" s="246" t="s">
        <v>7</v>
      </c>
      <c r="T59" s="246" t="s">
        <v>371</v>
      </c>
      <c r="U59" s="246" t="s">
        <v>305</v>
      </c>
      <c r="V59" s="246" t="s">
        <v>7</v>
      </c>
      <c r="Z59" s="246" t="s">
        <v>371</v>
      </c>
      <c r="AA59" s="246" t="s">
        <v>305</v>
      </c>
      <c r="AB59" s="246" t="s">
        <v>7</v>
      </c>
      <c r="AF59" s="246" t="s">
        <v>371</v>
      </c>
      <c r="AG59" s="246" t="s">
        <v>305</v>
      </c>
      <c r="AH59" s="246" t="s">
        <v>7</v>
      </c>
    </row>
    <row r="60" spans="2:35" s="269" customFormat="1">
      <c r="B60" s="247" t="s">
        <v>140</v>
      </c>
      <c r="C60" s="267"/>
      <c r="D60" s="267"/>
      <c r="E60" s="268"/>
      <c r="H60" s="247" t="s">
        <v>140</v>
      </c>
      <c r="I60" s="267"/>
      <c r="J60" s="267"/>
      <c r="K60" s="268"/>
      <c r="N60" s="247" t="s">
        <v>140</v>
      </c>
      <c r="O60" s="267"/>
      <c r="P60" s="267"/>
      <c r="Q60" s="268"/>
      <c r="T60" s="247" t="s">
        <v>140</v>
      </c>
      <c r="U60" s="267"/>
      <c r="V60" s="267"/>
      <c r="W60" s="268"/>
      <c r="Z60" s="247" t="s">
        <v>140</v>
      </c>
      <c r="AA60" s="267"/>
      <c r="AB60" s="267"/>
      <c r="AC60" s="268"/>
      <c r="AF60" s="247" t="s">
        <v>140</v>
      </c>
      <c r="AG60" s="267"/>
      <c r="AH60" s="267"/>
      <c r="AI60" s="268"/>
    </row>
    <row r="61" spans="2:35">
      <c r="B61" s="250"/>
      <c r="C61" s="250"/>
      <c r="D61" s="250"/>
      <c r="H61" s="250"/>
      <c r="I61" s="250"/>
      <c r="J61" s="250"/>
      <c r="N61" s="250"/>
      <c r="O61" s="250"/>
      <c r="P61" s="250"/>
      <c r="T61" s="250"/>
      <c r="U61" s="250"/>
      <c r="V61" s="250"/>
      <c r="Z61" s="250"/>
      <c r="AA61" s="250"/>
      <c r="AB61" s="250"/>
      <c r="AF61" s="250"/>
      <c r="AG61" s="250"/>
      <c r="AH61" s="250"/>
    </row>
    <row r="62" spans="2:35">
      <c r="B62" s="250"/>
      <c r="C62" s="250"/>
      <c r="D62" s="250"/>
      <c r="H62" s="250"/>
      <c r="I62" s="250"/>
      <c r="J62" s="250"/>
      <c r="N62" s="250"/>
      <c r="O62" s="250"/>
      <c r="P62" s="250"/>
      <c r="T62" s="250"/>
      <c r="U62" s="250"/>
      <c r="V62" s="250"/>
      <c r="Z62" s="250"/>
      <c r="AA62" s="250"/>
      <c r="AB62" s="250"/>
      <c r="AF62" s="250"/>
      <c r="AG62" s="250"/>
      <c r="AH62" s="250"/>
    </row>
    <row r="63" spans="2:35" ht="14.5" thickBot="1">
      <c r="B63" s="248"/>
      <c r="C63" s="248"/>
      <c r="D63" s="248"/>
      <c r="H63" s="248"/>
      <c r="I63" s="248"/>
      <c r="J63" s="248"/>
      <c r="N63" s="248"/>
      <c r="O63" s="248"/>
      <c r="P63" s="248"/>
      <c r="T63" s="248"/>
      <c r="U63" s="248"/>
      <c r="V63" s="248"/>
      <c r="Z63" s="248"/>
      <c r="AA63" s="248"/>
      <c r="AB63" s="248"/>
      <c r="AF63" s="248"/>
      <c r="AG63" s="248"/>
      <c r="AH63" s="248"/>
    </row>
    <row r="66" spans="2:35" s="222" customFormat="1" ht="21">
      <c r="B66" s="213" t="s">
        <v>372</v>
      </c>
      <c r="C66" s="213"/>
      <c r="D66" s="213"/>
      <c r="E66" s="221"/>
      <c r="K66" s="221"/>
      <c r="Q66" s="221"/>
      <c r="W66" s="221"/>
      <c r="AC66" s="221"/>
      <c r="AI66" s="221"/>
    </row>
    <row r="67" spans="2:35" ht="15" thickBot="1">
      <c r="B67" s="223" t="s">
        <v>373</v>
      </c>
    </row>
    <row r="68" spans="2:35">
      <c r="B68" s="214" t="str">
        <f>B4</f>
        <v>Base case 1</v>
      </c>
      <c r="C68" s="228"/>
      <c r="D68" s="230"/>
      <c r="H68" s="214" t="str">
        <f>H4</f>
        <v>Base case 2</v>
      </c>
      <c r="I68" s="228"/>
      <c r="J68" s="230"/>
      <c r="N68" s="214" t="str">
        <f>N4</f>
        <v>Base case 3</v>
      </c>
      <c r="O68" s="228"/>
      <c r="P68" s="230"/>
      <c r="T68" s="214" t="str">
        <f>T4</f>
        <v>Base case 4</v>
      </c>
      <c r="U68" s="228"/>
      <c r="V68" s="230"/>
      <c r="Z68" s="215" t="str">
        <f>Z4</f>
        <v>Base case 5</v>
      </c>
      <c r="AA68" s="216"/>
      <c r="AB68" s="230"/>
      <c r="AF68" s="214" t="str">
        <f>AF4</f>
        <v>Base case 6</v>
      </c>
      <c r="AG68" s="228"/>
      <c r="AH68" s="230"/>
    </row>
    <row r="69" spans="2:35" ht="28.5" thickBot="1">
      <c r="B69" s="217" t="str">
        <f>B5</f>
        <v>Undercounter water-change dishwashers</v>
      </c>
      <c r="C69" s="231"/>
      <c r="D69" s="245"/>
      <c r="H69" s="217" t="str">
        <f>H5</f>
        <v>Undercounter one-tank dishwashers</v>
      </c>
      <c r="I69" s="231"/>
      <c r="J69" s="245"/>
      <c r="N69" s="217" t="str">
        <f>N5</f>
        <v>Hood-type dishwashers</v>
      </c>
      <c r="O69" s="231"/>
      <c r="P69" s="245"/>
      <c r="T69" s="217" t="str">
        <f>T5</f>
        <v>Utensil / pot dishwashers</v>
      </c>
      <c r="U69" s="231"/>
      <c r="V69" s="245"/>
      <c r="Z69" s="218" t="str">
        <f>Z5</f>
        <v>One-tank conveyor-type dishwashers</v>
      </c>
      <c r="AA69" s="219"/>
      <c r="AB69" s="245"/>
      <c r="AF69" s="220" t="str">
        <f>AF5</f>
        <v>Multi-tank conveyor-type dishwashers</v>
      </c>
      <c r="AG69" s="231"/>
      <c r="AH69" s="245"/>
    </row>
    <row r="70" spans="2:35" ht="14.5" thickBot="1">
      <c r="B70" s="101" t="s">
        <v>374</v>
      </c>
      <c r="C70" s="18" t="s">
        <v>305</v>
      </c>
      <c r="D70" s="18" t="s">
        <v>7</v>
      </c>
      <c r="H70" s="101" t="s">
        <v>374</v>
      </c>
      <c r="I70" s="18" t="s">
        <v>305</v>
      </c>
      <c r="J70" s="18" t="s">
        <v>7</v>
      </c>
      <c r="N70" s="101" t="s">
        <v>374</v>
      </c>
      <c r="O70" s="18" t="s">
        <v>305</v>
      </c>
      <c r="P70" s="18" t="s">
        <v>7</v>
      </c>
      <c r="T70" s="101" t="s">
        <v>374</v>
      </c>
      <c r="U70" s="18" t="s">
        <v>305</v>
      </c>
      <c r="V70" s="18" t="s">
        <v>7</v>
      </c>
      <c r="Z70" s="101" t="s">
        <v>374</v>
      </c>
      <c r="AA70" s="18" t="s">
        <v>305</v>
      </c>
      <c r="AB70" s="18" t="s">
        <v>7</v>
      </c>
      <c r="AF70" s="101" t="s">
        <v>374</v>
      </c>
      <c r="AG70" s="18" t="s">
        <v>305</v>
      </c>
      <c r="AH70" s="18" t="s">
        <v>7</v>
      </c>
    </row>
    <row r="71" spans="2:35">
      <c r="B71" s="94" t="s">
        <v>375</v>
      </c>
      <c r="C71" s="265">
        <f>C48/1000</f>
        <v>7.2590999999999989E-2</v>
      </c>
      <c r="D71" s="112" t="s">
        <v>376</v>
      </c>
      <c r="H71" s="94" t="s">
        <v>375</v>
      </c>
      <c r="I71" s="265">
        <f>I48/1000</f>
        <v>8.29815E-2</v>
      </c>
      <c r="J71" s="112" t="s">
        <v>376</v>
      </c>
      <c r="N71" s="94" t="s">
        <v>375</v>
      </c>
      <c r="O71" s="265">
        <f>O48/1000</f>
        <v>0.17487149999999996</v>
      </c>
      <c r="P71" s="112" t="s">
        <v>376</v>
      </c>
      <c r="T71" s="94" t="s">
        <v>375</v>
      </c>
      <c r="U71" s="265">
        <f>U48/1000</f>
        <v>0.23077400000000001</v>
      </c>
      <c r="V71" s="112" t="s">
        <v>376</v>
      </c>
      <c r="Z71" s="94" t="s">
        <v>375</v>
      </c>
      <c r="AA71" s="265">
        <f>AA48/1000</f>
        <v>0.99676999999999993</v>
      </c>
      <c r="AB71" s="112" t="s">
        <v>376</v>
      </c>
      <c r="AF71" s="94" t="s">
        <v>375</v>
      </c>
      <c r="AG71" s="265">
        <f>AG48/1000</f>
        <v>1.5820300000000003</v>
      </c>
      <c r="AH71" s="112" t="s">
        <v>376</v>
      </c>
    </row>
    <row r="72" spans="2:35" ht="14.5" thickBot="1">
      <c r="B72" s="93" t="s">
        <v>377</v>
      </c>
      <c r="C72" s="113">
        <v>1330</v>
      </c>
      <c r="D72" s="113" t="s">
        <v>378</v>
      </c>
      <c r="H72" s="93" t="s">
        <v>377</v>
      </c>
      <c r="I72" s="113">
        <v>1330</v>
      </c>
      <c r="J72" s="113" t="s">
        <v>378</v>
      </c>
      <c r="N72" s="93" t="s">
        <v>377</v>
      </c>
      <c r="O72" s="113">
        <v>1330</v>
      </c>
      <c r="P72" s="113" t="s">
        <v>378</v>
      </c>
      <c r="T72" s="93" t="s">
        <v>377</v>
      </c>
      <c r="U72" s="113">
        <v>1330</v>
      </c>
      <c r="V72" s="113" t="s">
        <v>378</v>
      </c>
      <c r="Z72" s="93" t="s">
        <v>377</v>
      </c>
      <c r="AA72" s="113">
        <v>1330</v>
      </c>
      <c r="AB72" s="113" t="s">
        <v>378</v>
      </c>
      <c r="AF72" s="93" t="s">
        <v>377</v>
      </c>
      <c r="AG72" s="113">
        <v>1330</v>
      </c>
      <c r="AH72" s="113" t="s">
        <v>378</v>
      </c>
    </row>
    <row r="73" spans="2:35">
      <c r="B73" s="11"/>
      <c r="C73" s="114"/>
      <c r="D73" s="114"/>
      <c r="H73" s="11"/>
      <c r="I73" s="114"/>
      <c r="J73" s="114"/>
      <c r="N73" s="11"/>
      <c r="O73" s="114"/>
      <c r="P73" s="114"/>
      <c r="T73" s="11"/>
      <c r="U73" s="114"/>
      <c r="V73" s="114"/>
      <c r="Z73" s="11"/>
      <c r="AA73" s="114"/>
      <c r="AB73" s="114"/>
      <c r="AF73" s="11"/>
      <c r="AG73" s="114"/>
      <c r="AH73" s="114"/>
    </row>
    <row r="74" spans="2:35" ht="14.5" thickBot="1">
      <c r="B74" s="4"/>
      <c r="C74" s="114"/>
      <c r="D74" s="114"/>
      <c r="H74" s="4"/>
      <c r="I74" s="114"/>
      <c r="J74" s="114"/>
      <c r="N74" s="4"/>
      <c r="O74" s="114"/>
      <c r="P74" s="114"/>
      <c r="T74" s="4"/>
      <c r="U74" s="114"/>
      <c r="V74" s="114"/>
      <c r="Z74" s="4"/>
      <c r="AA74" s="114"/>
      <c r="AB74" s="114"/>
      <c r="AF74" s="4"/>
      <c r="AG74" s="114"/>
      <c r="AH74" s="114"/>
    </row>
    <row r="75" spans="2:35" ht="14.5" thickBot="1">
      <c r="B75" s="101" t="s">
        <v>379</v>
      </c>
      <c r="C75" s="18" t="s">
        <v>305</v>
      </c>
      <c r="D75" s="18" t="s">
        <v>7</v>
      </c>
      <c r="H75" s="101" t="s">
        <v>379</v>
      </c>
      <c r="I75" s="18" t="s">
        <v>305</v>
      </c>
      <c r="J75" s="18" t="s">
        <v>7</v>
      </c>
      <c r="N75" s="101" t="s">
        <v>379</v>
      </c>
      <c r="O75" s="18" t="s">
        <v>305</v>
      </c>
      <c r="P75" s="18" t="s">
        <v>7</v>
      </c>
      <c r="T75" s="101" t="s">
        <v>379</v>
      </c>
      <c r="U75" s="18" t="s">
        <v>305</v>
      </c>
      <c r="V75" s="18" t="s">
        <v>7</v>
      </c>
      <c r="Z75" s="101" t="s">
        <v>379</v>
      </c>
      <c r="AA75" s="18" t="s">
        <v>305</v>
      </c>
      <c r="AB75" s="18" t="s">
        <v>7</v>
      </c>
      <c r="AF75" s="101" t="s">
        <v>379</v>
      </c>
      <c r="AG75" s="18" t="s">
        <v>305</v>
      </c>
      <c r="AH75" s="18" t="s">
        <v>7</v>
      </c>
    </row>
    <row r="76" spans="2:35">
      <c r="B76" s="94" t="s">
        <v>375</v>
      </c>
      <c r="C76" s="266">
        <f>C48/1000</f>
        <v>7.2590999999999989E-2</v>
      </c>
      <c r="D76" s="112" t="s">
        <v>376</v>
      </c>
      <c r="H76" s="94" t="s">
        <v>375</v>
      </c>
      <c r="I76" s="266">
        <f>I48/1000</f>
        <v>8.29815E-2</v>
      </c>
      <c r="J76" s="112" t="s">
        <v>376</v>
      </c>
      <c r="N76" s="94" t="s">
        <v>375</v>
      </c>
      <c r="O76" s="266">
        <f>O48/1000</f>
        <v>0.17487149999999996</v>
      </c>
      <c r="P76" s="112" t="s">
        <v>376</v>
      </c>
      <c r="T76" s="94" t="s">
        <v>375</v>
      </c>
      <c r="U76" s="266">
        <f>U48/1000</f>
        <v>0.23077400000000001</v>
      </c>
      <c r="V76" s="112" t="s">
        <v>376</v>
      </c>
      <c r="Z76" s="94" t="s">
        <v>375</v>
      </c>
      <c r="AA76" s="266">
        <f>AA48/1000</f>
        <v>0.99676999999999993</v>
      </c>
      <c r="AB76" s="112" t="s">
        <v>376</v>
      </c>
      <c r="AF76" s="94" t="s">
        <v>375</v>
      </c>
      <c r="AG76" s="265">
        <f>AG48/1000</f>
        <v>1.5820300000000003</v>
      </c>
      <c r="AH76" s="112" t="s">
        <v>376</v>
      </c>
    </row>
    <row r="77" spans="2:35" ht="14.5" thickBot="1">
      <c r="B77" s="93" t="s">
        <v>377</v>
      </c>
      <c r="C77" s="113">
        <v>240</v>
      </c>
      <c r="D77" s="113" t="s">
        <v>378</v>
      </c>
      <c r="H77" s="93" t="s">
        <v>377</v>
      </c>
      <c r="I77" s="113">
        <v>240</v>
      </c>
      <c r="J77" s="113" t="s">
        <v>378</v>
      </c>
      <c r="N77" s="93" t="s">
        <v>377</v>
      </c>
      <c r="O77" s="113">
        <v>240</v>
      </c>
      <c r="P77" s="113" t="s">
        <v>378</v>
      </c>
      <c r="T77" s="93" t="s">
        <v>377</v>
      </c>
      <c r="U77" s="113">
        <v>240</v>
      </c>
      <c r="V77" s="113" t="s">
        <v>378</v>
      </c>
      <c r="Z77" s="93" t="s">
        <v>377</v>
      </c>
      <c r="AA77" s="113">
        <v>240</v>
      </c>
      <c r="AB77" s="113" t="s">
        <v>378</v>
      </c>
      <c r="AF77" s="93" t="s">
        <v>377</v>
      </c>
      <c r="AG77" s="113">
        <v>240</v>
      </c>
      <c r="AH77" s="113" t="s">
        <v>378</v>
      </c>
    </row>
    <row r="78" spans="2:35">
      <c r="B78" s="4"/>
      <c r="C78" s="114"/>
      <c r="D78" s="114"/>
      <c r="H78" s="4"/>
      <c r="I78" s="114"/>
      <c r="J78" s="114"/>
      <c r="N78" s="4"/>
      <c r="O78" s="114"/>
      <c r="P78" s="114"/>
      <c r="T78" s="4"/>
      <c r="U78" s="114"/>
      <c r="V78" s="114"/>
      <c r="Z78" s="4"/>
      <c r="AA78" s="114"/>
      <c r="AB78" s="114"/>
      <c r="AF78" s="4"/>
      <c r="AG78" s="114"/>
      <c r="AH78" s="114"/>
    </row>
    <row r="79" spans="2:35" ht="14.5" thickBot="1">
      <c r="B79" s="4"/>
      <c r="C79" s="114"/>
      <c r="D79" s="114"/>
      <c r="H79" s="4"/>
      <c r="I79" s="114"/>
      <c r="J79" s="114"/>
      <c r="N79" s="4"/>
      <c r="O79" s="114"/>
      <c r="P79" s="114"/>
      <c r="T79" s="4"/>
      <c r="U79" s="114"/>
      <c r="V79" s="114"/>
      <c r="Z79" s="4"/>
      <c r="AA79" s="114"/>
      <c r="AB79" s="114"/>
      <c r="AF79" s="4"/>
      <c r="AG79" s="114"/>
      <c r="AH79" s="114"/>
    </row>
    <row r="80" spans="2:35" ht="14.5" thickBot="1">
      <c r="B80" s="101" t="s">
        <v>380</v>
      </c>
      <c r="C80" s="18" t="s">
        <v>305</v>
      </c>
      <c r="D80" s="18" t="s">
        <v>7</v>
      </c>
      <c r="H80" s="101" t="s">
        <v>380</v>
      </c>
      <c r="I80" s="18" t="s">
        <v>305</v>
      </c>
      <c r="J80" s="18" t="s">
        <v>7</v>
      </c>
      <c r="N80" s="101" t="s">
        <v>380</v>
      </c>
      <c r="O80" s="18" t="s">
        <v>305</v>
      </c>
      <c r="P80" s="18" t="s">
        <v>7</v>
      </c>
      <c r="T80" s="101" t="s">
        <v>380</v>
      </c>
      <c r="U80" s="18" t="s">
        <v>305</v>
      </c>
      <c r="V80" s="18" t="s">
        <v>7</v>
      </c>
      <c r="Z80" s="101" t="s">
        <v>380</v>
      </c>
      <c r="AA80" s="18" t="s">
        <v>305</v>
      </c>
      <c r="AB80" s="18" t="s">
        <v>7</v>
      </c>
      <c r="AF80" s="101" t="s">
        <v>380</v>
      </c>
      <c r="AG80" s="18" t="s">
        <v>305</v>
      </c>
      <c r="AH80" s="18" t="s">
        <v>7</v>
      </c>
    </row>
    <row r="81" spans="2:34">
      <c r="B81" s="94" t="s">
        <v>375</v>
      </c>
      <c r="C81" s="266">
        <f>C48/1000</f>
        <v>7.2590999999999989E-2</v>
      </c>
      <c r="D81" s="112" t="s">
        <v>376</v>
      </c>
      <c r="H81" s="94" t="s">
        <v>375</v>
      </c>
      <c r="I81" s="266">
        <f>I48/1000</f>
        <v>8.29815E-2</v>
      </c>
      <c r="J81" s="112" t="s">
        <v>376</v>
      </c>
      <c r="N81" s="94" t="s">
        <v>375</v>
      </c>
      <c r="O81" s="266">
        <f>O48/1000</f>
        <v>0.17487149999999996</v>
      </c>
      <c r="P81" s="112" t="s">
        <v>376</v>
      </c>
      <c r="T81" s="94" t="s">
        <v>375</v>
      </c>
      <c r="U81" s="266">
        <f>U48/1000</f>
        <v>0.23077400000000001</v>
      </c>
      <c r="V81" s="112" t="s">
        <v>376</v>
      </c>
      <c r="Z81" s="94" t="s">
        <v>375</v>
      </c>
      <c r="AA81" s="266">
        <f>AA48/1000</f>
        <v>0.99676999999999993</v>
      </c>
      <c r="AB81" s="112" t="s">
        <v>376</v>
      </c>
      <c r="AF81" s="94" t="s">
        <v>375</v>
      </c>
      <c r="AG81" s="265">
        <f>AG48/1000</f>
        <v>1.5820300000000003</v>
      </c>
      <c r="AH81" s="112" t="s">
        <v>376</v>
      </c>
    </row>
    <row r="82" spans="2:34" ht="14.5" thickBot="1">
      <c r="B82" s="93" t="s">
        <v>377</v>
      </c>
      <c r="C82" s="113">
        <v>270</v>
      </c>
      <c r="D82" s="113" t="s">
        <v>378</v>
      </c>
      <c r="H82" s="93" t="s">
        <v>377</v>
      </c>
      <c r="I82" s="113">
        <v>270</v>
      </c>
      <c r="J82" s="113" t="s">
        <v>378</v>
      </c>
      <c r="N82" s="93" t="s">
        <v>377</v>
      </c>
      <c r="O82" s="113">
        <v>270</v>
      </c>
      <c r="P82" s="113" t="s">
        <v>378</v>
      </c>
      <c r="T82" s="93" t="s">
        <v>377</v>
      </c>
      <c r="U82" s="113">
        <v>270</v>
      </c>
      <c r="V82" s="113" t="s">
        <v>378</v>
      </c>
      <c r="Z82" s="93" t="s">
        <v>377</v>
      </c>
      <c r="AA82" s="113">
        <v>270</v>
      </c>
      <c r="AB82" s="113" t="s">
        <v>378</v>
      </c>
      <c r="AF82" s="93" t="s">
        <v>377</v>
      </c>
      <c r="AG82" s="113">
        <v>270</v>
      </c>
      <c r="AH82" s="113" t="s">
        <v>378</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DD48-D882-472E-800F-B0D8315EF64D}">
  <sheetPr>
    <tabColor theme="9"/>
  </sheetPr>
  <dimension ref="A1:N84"/>
  <sheetViews>
    <sheetView topLeftCell="A5" zoomScaleNormal="100" workbookViewId="0">
      <selection activeCell="C19" sqref="C19"/>
    </sheetView>
  </sheetViews>
  <sheetFormatPr baseColWidth="10" defaultColWidth="8.75" defaultRowHeight="14"/>
  <cols>
    <col min="1" max="1" width="8.75" style="14"/>
    <col min="2" max="2" width="46.1640625" style="14" customWidth="1"/>
    <col min="3" max="3" width="20.5" style="14" customWidth="1"/>
    <col min="4" max="4" width="14.83203125" style="14" customWidth="1"/>
    <col min="5" max="5" width="20.5" style="14" customWidth="1"/>
    <col min="6" max="6" width="13.4140625" style="14" customWidth="1"/>
    <col min="7" max="7" width="20.5" style="14" customWidth="1"/>
    <col min="8" max="8" width="13.83203125" style="14" customWidth="1"/>
    <col min="9" max="9" width="20.5" style="14" customWidth="1"/>
    <col min="10" max="10" width="14.1640625" style="14" customWidth="1"/>
    <col min="11" max="11" width="20.5" style="14" customWidth="1"/>
    <col min="12" max="12" width="13.83203125" style="14" customWidth="1"/>
    <col min="13" max="13" width="20.5" style="14" customWidth="1"/>
    <col min="14" max="14" width="14.1640625" style="14" customWidth="1"/>
    <col min="15" max="16384" width="8.75" style="14"/>
  </cols>
  <sheetData>
    <row r="1" spans="2:14" s="288" customFormat="1" ht="21">
      <c r="B1" s="287" t="s">
        <v>381</v>
      </c>
      <c r="D1" s="287"/>
      <c r="E1" s="287"/>
      <c r="F1" s="287"/>
      <c r="G1" s="287"/>
    </row>
    <row r="2" spans="2:14" ht="14.5" thickBot="1"/>
    <row r="3" spans="2:14">
      <c r="B3" s="177"/>
      <c r="C3" s="178" t="str">
        <f>'Input BoM- Manufacturing'!B4</f>
        <v>Base case 1</v>
      </c>
      <c r="D3" s="179"/>
      <c r="E3" s="180" t="str">
        <f>'Input BoM- Manufacturing'!H4</f>
        <v>Base case 2</v>
      </c>
      <c r="F3" s="179"/>
      <c r="G3" s="180" t="str">
        <f>'Input BoM- Manufacturing'!N4</f>
        <v>Base case 3</v>
      </c>
      <c r="H3" s="179"/>
      <c r="I3" s="180" t="str">
        <f>'Input BoM- Manufacturing'!T4</f>
        <v>Base case 4</v>
      </c>
      <c r="J3" s="179"/>
      <c r="K3" s="180" t="str">
        <f>'Input BoM- Manufacturing'!Z4</f>
        <v>Base case 5</v>
      </c>
      <c r="L3" s="179"/>
      <c r="M3" s="180" t="str">
        <f>'Input BoM- Manufacturing'!AF4</f>
        <v>Base case 6</v>
      </c>
      <c r="N3" s="181"/>
    </row>
    <row r="4" spans="2:14" ht="28.5" thickBot="1">
      <c r="B4" s="182"/>
      <c r="C4" s="183" t="str">
        <f>'Input BoM- Manufacturing'!B5</f>
        <v>Undercounter water-change dishwashers</v>
      </c>
      <c r="D4" s="184"/>
      <c r="E4" s="185" t="str">
        <f>'Input BoM- Manufacturing'!H5</f>
        <v>Undercounter one-tank dishwashers</v>
      </c>
      <c r="F4" s="184"/>
      <c r="G4" s="185" t="str">
        <f>'Input BoM- Manufacturing'!N5</f>
        <v>Hood-type dishwashers</v>
      </c>
      <c r="H4" s="184"/>
      <c r="I4" s="185" t="str">
        <f>'Input BoM- Manufacturing'!T5</f>
        <v>Utensil / pot dishwashers</v>
      </c>
      <c r="J4" s="184"/>
      <c r="K4" s="185" t="str">
        <f>'Input BoM- Manufacturing'!Z5</f>
        <v>One-tank conveyor-type dishwashers</v>
      </c>
      <c r="L4" s="184"/>
      <c r="M4" s="186" t="str">
        <f>'Input BoM- Manufacturing'!AF5</f>
        <v>Multi-tank conveyor-type dishwashers</v>
      </c>
      <c r="N4" s="187"/>
    </row>
    <row r="5" spans="2:14">
      <c r="B5" s="188" t="s">
        <v>382</v>
      </c>
      <c r="C5" s="188" t="s">
        <v>305</v>
      </c>
      <c r="D5" s="188" t="s">
        <v>7</v>
      </c>
      <c r="E5" s="188" t="s">
        <v>305</v>
      </c>
      <c r="F5" s="188" t="s">
        <v>7</v>
      </c>
      <c r="G5" s="188" t="s">
        <v>305</v>
      </c>
      <c r="H5" s="188" t="s">
        <v>7</v>
      </c>
      <c r="I5" s="188" t="s">
        <v>305</v>
      </c>
      <c r="J5" s="188" t="s">
        <v>7</v>
      </c>
      <c r="K5" s="188" t="s">
        <v>305</v>
      </c>
      <c r="L5" s="188" t="s">
        <v>7</v>
      </c>
      <c r="M5" s="188" t="s">
        <v>305</v>
      </c>
      <c r="N5" s="188" t="s">
        <v>7</v>
      </c>
    </row>
    <row r="6" spans="2:14">
      <c r="B6" s="527" t="s">
        <v>383</v>
      </c>
      <c r="C6" s="528"/>
      <c r="D6" s="528"/>
      <c r="E6" s="528"/>
      <c r="F6" s="528"/>
      <c r="G6" s="528"/>
      <c r="H6" s="528"/>
      <c r="I6" s="528"/>
      <c r="J6" s="528"/>
      <c r="K6" s="528"/>
      <c r="L6" s="528"/>
      <c r="M6" s="528"/>
      <c r="N6" s="528"/>
    </row>
    <row r="7" spans="2:14">
      <c r="B7" s="515" t="s">
        <v>384</v>
      </c>
      <c r="C7" s="516">
        <f>'T3 Input data'!D172</f>
        <v>1503.0040000000001</v>
      </c>
      <c r="D7" s="517" t="s">
        <v>368</v>
      </c>
      <c r="E7" s="516">
        <f>'T3 Input data'!D173</f>
        <v>6969.2</v>
      </c>
      <c r="F7" s="517" t="s">
        <v>368</v>
      </c>
      <c r="G7" s="516">
        <f>'T3 Input data'!D174</f>
        <v>14065.7</v>
      </c>
      <c r="H7" s="517" t="s">
        <v>368</v>
      </c>
      <c r="I7" s="516">
        <f>'T3 Input data'!D175</f>
        <v>12114.666666666668</v>
      </c>
      <c r="J7" s="517" t="s">
        <v>368</v>
      </c>
      <c r="K7" s="516">
        <f>'T3 Input data'!D176</f>
        <v>109462.64999999998</v>
      </c>
      <c r="L7" s="517" t="s">
        <v>368</v>
      </c>
      <c r="M7" s="516">
        <f>'T3 Input data'!D177</f>
        <v>217596.49999999997</v>
      </c>
      <c r="N7" s="518" t="s">
        <v>368</v>
      </c>
    </row>
    <row r="8" spans="2:14">
      <c r="B8" s="520" t="s">
        <v>385</v>
      </c>
      <c r="C8" s="192">
        <f>'T3 Input data'!B267</f>
        <v>1</v>
      </c>
      <c r="D8" s="193" t="s">
        <v>386</v>
      </c>
      <c r="E8" s="192">
        <f>'T3 Input data'!B268</f>
        <v>1</v>
      </c>
      <c r="F8" s="193" t="s">
        <v>386</v>
      </c>
      <c r="G8" s="192">
        <f>'T3 Input data'!B269</f>
        <v>1</v>
      </c>
      <c r="H8" s="193" t="s">
        <v>386</v>
      </c>
      <c r="I8" s="192">
        <v>0.98</v>
      </c>
      <c r="J8" s="193" t="s">
        <v>386</v>
      </c>
      <c r="K8" s="192">
        <v>0.9</v>
      </c>
      <c r="L8" s="193" t="s">
        <v>386</v>
      </c>
      <c r="M8" s="192">
        <v>0.85</v>
      </c>
      <c r="N8" s="519" t="s">
        <v>386</v>
      </c>
    </row>
    <row r="9" spans="2:14">
      <c r="B9" s="520" t="s">
        <v>387</v>
      </c>
      <c r="C9" s="192">
        <f>'T3 Input data'!C267</f>
        <v>0</v>
      </c>
      <c r="D9" s="193" t="s">
        <v>386</v>
      </c>
      <c r="E9" s="192">
        <f>'T3 Input data'!C268</f>
        <v>0</v>
      </c>
      <c r="F9" s="193" t="s">
        <v>386</v>
      </c>
      <c r="G9" s="192">
        <f>'T3 Input data'!C269</f>
        <v>0</v>
      </c>
      <c r="H9" s="193" t="s">
        <v>386</v>
      </c>
      <c r="I9" s="192">
        <v>0.02</v>
      </c>
      <c r="J9" s="193" t="s">
        <v>386</v>
      </c>
      <c r="K9" s="192">
        <v>0.1</v>
      </c>
      <c r="L9" s="193" t="s">
        <v>386</v>
      </c>
      <c r="M9" s="192">
        <v>0.15</v>
      </c>
      <c r="N9" s="519" t="s">
        <v>386</v>
      </c>
    </row>
    <row r="10" spans="2:14">
      <c r="B10" s="521" t="s">
        <v>388</v>
      </c>
      <c r="C10" s="512">
        <f>'T3 Input data'!E172</f>
        <v>43989.925000000003</v>
      </c>
      <c r="D10" s="194" t="s">
        <v>389</v>
      </c>
      <c r="E10" s="512">
        <f>'T3 Input data'!E173</f>
        <v>163153.39500000002</v>
      </c>
      <c r="F10" s="194" t="s">
        <v>389</v>
      </c>
      <c r="G10" s="512">
        <f>'T3 Input data'!E174</f>
        <v>154977</v>
      </c>
      <c r="H10" s="194" t="s">
        <v>389</v>
      </c>
      <c r="I10" s="512">
        <f>'T3 Input data'!E175</f>
        <v>116700</v>
      </c>
      <c r="J10" s="194" t="s">
        <v>389</v>
      </c>
      <c r="K10" s="512">
        <f>'T3 Input data'!E176</f>
        <v>820512</v>
      </c>
      <c r="L10" s="194" t="s">
        <v>389</v>
      </c>
      <c r="M10" s="512">
        <f>'T3 Input data'!E177</f>
        <v>1229448</v>
      </c>
      <c r="N10" s="522" t="s">
        <v>389</v>
      </c>
    </row>
    <row r="11" spans="2:14">
      <c r="B11" s="523" t="s">
        <v>390</v>
      </c>
      <c r="C11" s="509" t="str">
        <f>'T3 Input data'!D150</f>
        <v>n.a.</v>
      </c>
      <c r="D11" s="510" t="s">
        <v>389</v>
      </c>
      <c r="E11" s="509">
        <f>'T3 Input data'!D151</f>
        <v>1800</v>
      </c>
      <c r="F11" s="510" t="s">
        <v>389</v>
      </c>
      <c r="G11" s="509">
        <f>'T3 Input data'!D152</f>
        <v>6000</v>
      </c>
      <c r="H11" s="510" t="s">
        <v>389</v>
      </c>
      <c r="I11" s="509">
        <f>'T3 Input data'!D153</f>
        <v>18000</v>
      </c>
      <c r="J11" s="510" t="s">
        <v>389</v>
      </c>
      <c r="K11" s="509">
        <f>'T3 Input data'!D154</f>
        <v>31679.999999999996</v>
      </c>
      <c r="L11" s="510" t="s">
        <v>389</v>
      </c>
      <c r="M11" s="509">
        <f>'T3 Input data'!D155</f>
        <v>66000</v>
      </c>
      <c r="N11" s="524" t="s">
        <v>389</v>
      </c>
    </row>
    <row r="12" spans="2:14">
      <c r="B12" s="523" t="s">
        <v>391</v>
      </c>
      <c r="C12" s="511">
        <v>4.18</v>
      </c>
      <c r="D12" s="510" t="s">
        <v>392</v>
      </c>
      <c r="E12" s="511">
        <v>4.18</v>
      </c>
      <c r="F12" s="510" t="s">
        <v>392</v>
      </c>
      <c r="G12" s="511">
        <v>4.18</v>
      </c>
      <c r="H12" s="510" t="s">
        <v>392</v>
      </c>
      <c r="I12" s="511">
        <v>4.18</v>
      </c>
      <c r="J12" s="510" t="s">
        <v>392</v>
      </c>
      <c r="K12" s="511">
        <v>4.18</v>
      </c>
      <c r="L12" s="510" t="s">
        <v>392</v>
      </c>
      <c r="M12" s="511">
        <v>4.18</v>
      </c>
      <c r="N12" s="524" t="s">
        <v>392</v>
      </c>
    </row>
    <row r="13" spans="2:14">
      <c r="B13" s="520" t="s">
        <v>393</v>
      </c>
      <c r="C13" s="529">
        <f>C12*45</f>
        <v>188.1</v>
      </c>
      <c r="D13" s="510" t="s">
        <v>392</v>
      </c>
      <c r="E13" s="529">
        <f>E12*45</f>
        <v>188.1</v>
      </c>
      <c r="F13" s="510" t="s">
        <v>392</v>
      </c>
      <c r="G13" s="529">
        <f>G12*45</f>
        <v>188.1</v>
      </c>
      <c r="H13" s="510" t="s">
        <v>392</v>
      </c>
      <c r="I13" s="529">
        <f>I12*45</f>
        <v>188.1</v>
      </c>
      <c r="J13" s="510" t="s">
        <v>392</v>
      </c>
      <c r="K13" s="529">
        <f>K12*45</f>
        <v>188.1</v>
      </c>
      <c r="L13" s="510" t="s">
        <v>392</v>
      </c>
      <c r="M13" s="529">
        <f>M12*45</f>
        <v>188.1</v>
      </c>
      <c r="N13" s="510" t="s">
        <v>392</v>
      </c>
    </row>
    <row r="14" spans="2:14">
      <c r="B14" s="520" t="s">
        <v>393</v>
      </c>
      <c r="C14" s="533">
        <f>C13*0.00027778</f>
        <v>5.2250417999999993E-2</v>
      </c>
      <c r="D14" s="532" t="s">
        <v>394</v>
      </c>
      <c r="E14" s="533">
        <f>E13*0.00027778</f>
        <v>5.2250417999999993E-2</v>
      </c>
      <c r="F14" s="532" t="s">
        <v>394</v>
      </c>
      <c r="G14" s="533">
        <f>G13*0.00027778</f>
        <v>5.2250417999999993E-2</v>
      </c>
      <c r="H14" s="532" t="s">
        <v>394</v>
      </c>
      <c r="I14" s="533">
        <f>I13*0.00027778</f>
        <v>5.2250417999999993E-2</v>
      </c>
      <c r="J14" s="532" t="s">
        <v>394</v>
      </c>
      <c r="K14" s="533">
        <f>K13*0.00027778</f>
        <v>5.2250417999999993E-2</v>
      </c>
      <c r="L14" s="532" t="s">
        <v>394</v>
      </c>
      <c r="M14" s="533">
        <f>M13*0.00027778</f>
        <v>5.2250417999999993E-2</v>
      </c>
      <c r="N14" s="532" t="s">
        <v>394</v>
      </c>
    </row>
    <row r="15" spans="2:14">
      <c r="B15" s="521" t="s">
        <v>395</v>
      </c>
      <c r="C15" s="525">
        <v>0</v>
      </c>
      <c r="D15" s="526" t="s">
        <v>396</v>
      </c>
      <c r="E15" s="525">
        <f>E11*E14</f>
        <v>94.050752399999993</v>
      </c>
      <c r="F15" s="526" t="s">
        <v>396</v>
      </c>
      <c r="G15" s="525">
        <f>G11*G14</f>
        <v>313.50250799999998</v>
      </c>
      <c r="H15" s="526" t="s">
        <v>396</v>
      </c>
      <c r="I15" s="525">
        <f>I11*I14</f>
        <v>940.50752399999988</v>
      </c>
      <c r="J15" s="526" t="s">
        <v>396</v>
      </c>
      <c r="K15" s="525">
        <f>K11*K14</f>
        <v>1655.2932422399995</v>
      </c>
      <c r="L15" s="526" t="s">
        <v>396</v>
      </c>
      <c r="M15" s="525">
        <f>M11*M14</f>
        <v>3448.5275879999995</v>
      </c>
      <c r="N15" s="526" t="s">
        <v>396</v>
      </c>
    </row>
    <row r="16" spans="2:14">
      <c r="B16" s="530" t="s">
        <v>397</v>
      </c>
      <c r="C16" s="531"/>
      <c r="D16" s="514"/>
      <c r="E16" s="513"/>
      <c r="F16" s="514"/>
      <c r="G16" s="513"/>
      <c r="H16" s="514"/>
      <c r="I16" s="513"/>
      <c r="J16" s="514"/>
      <c r="K16" s="513"/>
      <c r="L16" s="514"/>
      <c r="M16" s="513"/>
      <c r="N16" s="514"/>
    </row>
    <row r="17" spans="2:14">
      <c r="B17" s="189" t="s">
        <v>398</v>
      </c>
      <c r="C17" s="189">
        <f>'T3 Input data'!B14</f>
        <v>7</v>
      </c>
      <c r="D17" s="190" t="s">
        <v>399</v>
      </c>
      <c r="E17" s="189">
        <f>'T3 Input data'!B15</f>
        <v>55</v>
      </c>
      <c r="F17" s="190" t="s">
        <v>399</v>
      </c>
      <c r="G17" s="189">
        <f>'T3 Input data'!B16</f>
        <v>110</v>
      </c>
      <c r="H17" s="190" t="s">
        <v>399</v>
      </c>
      <c r="I17" s="189">
        <f>'T3 Input data'!B17</f>
        <v>30</v>
      </c>
      <c r="J17" s="190" t="s">
        <v>399</v>
      </c>
      <c r="K17" s="189">
        <f>'T3 Input data'!B19</f>
        <v>1800</v>
      </c>
      <c r="L17" s="431" t="s">
        <v>10</v>
      </c>
      <c r="M17" s="189">
        <f>'T3 Input data'!B20</f>
        <v>3600</v>
      </c>
      <c r="N17" s="431" t="s">
        <v>10</v>
      </c>
    </row>
    <row r="18" spans="2:14">
      <c r="B18" s="191" t="s">
        <v>400</v>
      </c>
      <c r="C18" s="191">
        <f>'T3 Input data'!D14</f>
        <v>200</v>
      </c>
      <c r="D18" s="193" t="s">
        <v>401</v>
      </c>
      <c r="E18" s="191">
        <f>'T3 Input data'!D15</f>
        <v>300</v>
      </c>
      <c r="F18" s="193" t="s">
        <v>401</v>
      </c>
      <c r="G18" s="191">
        <f>'T3 Input data'!D16</f>
        <v>300</v>
      </c>
      <c r="H18" s="193" t="s">
        <v>401</v>
      </c>
      <c r="I18" s="191">
        <f>'T3 Input data'!D17</f>
        <v>300</v>
      </c>
      <c r="J18" s="193" t="s">
        <v>401</v>
      </c>
      <c r="K18" s="191">
        <f>'T3 Input data'!D19</f>
        <v>330</v>
      </c>
      <c r="L18" s="193" t="s">
        <v>401</v>
      </c>
      <c r="M18" s="191">
        <f>'T3 Input data'!D20</f>
        <v>330</v>
      </c>
      <c r="N18" s="193" t="s">
        <v>401</v>
      </c>
    </row>
    <row r="19" spans="2:14">
      <c r="B19" s="191" t="s">
        <v>402</v>
      </c>
      <c r="C19" s="191">
        <f>'T3 Input data'!F4</f>
        <v>50</v>
      </c>
      <c r="D19" s="193" t="s">
        <v>403</v>
      </c>
      <c r="E19" s="191">
        <f>'T3 Input data'!F5</f>
        <v>18</v>
      </c>
      <c r="F19" s="193" t="s">
        <v>403</v>
      </c>
      <c r="G19" s="191">
        <f>'T3 Input data'!F6</f>
        <v>18</v>
      </c>
      <c r="H19" s="193" t="s">
        <v>403</v>
      </c>
      <c r="I19" s="191" t="s">
        <v>140</v>
      </c>
      <c r="J19" s="193" t="s">
        <v>403</v>
      </c>
      <c r="K19" s="191" t="s">
        <v>140</v>
      </c>
      <c r="L19" s="193" t="s">
        <v>403</v>
      </c>
      <c r="M19" s="191" t="s">
        <v>140</v>
      </c>
      <c r="N19" s="193" t="s">
        <v>403</v>
      </c>
    </row>
    <row r="20" spans="2:14">
      <c r="B20" s="382" t="s">
        <v>404</v>
      </c>
      <c r="C20" s="433">
        <f>'T3 Input data'!E14</f>
        <v>0.75</v>
      </c>
      <c r="D20" s="428" t="s">
        <v>386</v>
      </c>
      <c r="E20" s="434">
        <f>'T3 Input data'!E15</f>
        <v>0.8</v>
      </c>
      <c r="F20" s="428" t="s">
        <v>386</v>
      </c>
      <c r="G20" s="434">
        <f>'T3 Input data'!E16</f>
        <v>0.8</v>
      </c>
      <c r="H20" s="428" t="s">
        <v>386</v>
      </c>
      <c r="I20" s="434">
        <f>'T3 Input data'!E17</f>
        <v>0.6</v>
      </c>
      <c r="J20" s="428" t="s">
        <v>386</v>
      </c>
      <c r="K20" s="434">
        <f>'T3 Input data'!E19</f>
        <v>0.8</v>
      </c>
      <c r="L20" s="428" t="s">
        <v>386</v>
      </c>
      <c r="M20" s="434">
        <f>'T3 Input data'!E20</f>
        <v>0.8</v>
      </c>
      <c r="N20" s="428" t="s">
        <v>386</v>
      </c>
    </row>
    <row r="21" spans="2:14" ht="14.5" thickBot="1">
      <c r="B21" s="382" t="s">
        <v>33</v>
      </c>
      <c r="C21" s="534" t="str">
        <f>'T3 Input data'!$B$162</f>
        <v>4</v>
      </c>
      <c r="D21" s="430" t="s">
        <v>405</v>
      </c>
      <c r="E21" s="14">
        <f>AVERAGE(10,14)</f>
        <v>12</v>
      </c>
      <c r="F21" s="430" t="s">
        <v>405</v>
      </c>
      <c r="G21" s="14">
        <f>AVERAGE(10,14)</f>
        <v>12</v>
      </c>
      <c r="H21" s="430" t="s">
        <v>405</v>
      </c>
      <c r="I21" s="14">
        <f>AVERAGE(10,12)</f>
        <v>11</v>
      </c>
      <c r="J21" s="430" t="s">
        <v>405</v>
      </c>
      <c r="K21" s="14">
        <v>8</v>
      </c>
      <c r="L21" s="432" t="s">
        <v>405</v>
      </c>
      <c r="M21" s="14">
        <v>8</v>
      </c>
      <c r="N21" s="432" t="s">
        <v>405</v>
      </c>
    </row>
    <row r="22" spans="2:14" ht="14.5" thickBot="1">
      <c r="B22" s="195" t="s">
        <v>406</v>
      </c>
      <c r="C22" s="197"/>
      <c r="D22" s="196"/>
      <c r="E22" s="197"/>
      <c r="F22" s="196"/>
      <c r="G22" s="197"/>
      <c r="H22" s="196"/>
      <c r="I22" s="197"/>
      <c r="J22" s="196"/>
      <c r="K22" s="197"/>
      <c r="L22" s="196"/>
      <c r="M22" s="197"/>
      <c r="N22" s="196"/>
    </row>
    <row r="23" spans="2:14">
      <c r="B23" s="438" t="s">
        <v>407</v>
      </c>
      <c r="C23" s="358">
        <f>'T3 Input data'!F172</f>
        <v>30.8</v>
      </c>
      <c r="D23" s="198" t="s">
        <v>408</v>
      </c>
      <c r="E23" s="358">
        <f>'T3 Input data'!F173</f>
        <v>182.95618500000003</v>
      </c>
      <c r="F23" s="198" t="s">
        <v>408</v>
      </c>
      <c r="G23" s="358">
        <f>'T3 Input data'!F174</f>
        <v>315.24299999999999</v>
      </c>
      <c r="H23" s="198" t="s">
        <v>408</v>
      </c>
      <c r="I23" s="358">
        <f>'T3 Input data'!F175</f>
        <v>323.64</v>
      </c>
      <c r="J23" s="198" t="s">
        <v>408</v>
      </c>
      <c r="K23" s="358">
        <f>'T3 Input data'!F176</f>
        <v>1931.2127999999998</v>
      </c>
      <c r="L23" s="198" t="s">
        <v>408</v>
      </c>
      <c r="M23" s="358">
        <f>'T3 Input data'!F177</f>
        <v>2753.1504</v>
      </c>
      <c r="N23" s="198" t="s">
        <v>408</v>
      </c>
    </row>
    <row r="24" spans="2:14">
      <c r="B24" s="435" t="s">
        <v>409</v>
      </c>
      <c r="C24" s="436" t="str">
        <f>'T3 Input data'!G172</f>
        <v xml:space="preserve">integrated detergent and rinse aid </v>
      </c>
      <c r="D24" s="437" t="s">
        <v>408</v>
      </c>
      <c r="E24" s="436">
        <f>'T3 Input data'!G173</f>
        <v>15.5956185</v>
      </c>
      <c r="F24" s="437" t="s">
        <v>408</v>
      </c>
      <c r="G24" s="436">
        <f>'T3 Input data'!G174</f>
        <v>24.324300000000001</v>
      </c>
      <c r="H24" s="437" t="s">
        <v>408</v>
      </c>
      <c r="I24" s="436">
        <f>'T3 Input data'!G175</f>
        <v>17.009999999999998</v>
      </c>
      <c r="J24" s="437" t="s">
        <v>408</v>
      </c>
      <c r="K24" s="436">
        <f>'T3 Input data'!G176</f>
        <v>188.17919999999995</v>
      </c>
      <c r="L24" s="437" t="s">
        <v>408</v>
      </c>
      <c r="M24" s="436">
        <f>'T3 Input data'!G177</f>
        <v>250.90559999999999</v>
      </c>
      <c r="N24" s="437" t="s">
        <v>408</v>
      </c>
    </row>
    <row r="25" spans="2:14">
      <c r="B25" s="428" t="s">
        <v>410</v>
      </c>
      <c r="C25" s="189"/>
      <c r="D25" s="190"/>
      <c r="E25" s="189"/>
      <c r="F25" s="190"/>
      <c r="G25" s="189"/>
      <c r="H25" s="190"/>
      <c r="I25" s="189"/>
      <c r="J25" s="190"/>
      <c r="K25" s="189"/>
      <c r="L25" s="190"/>
      <c r="M25" s="189"/>
      <c r="N25" s="190"/>
    </row>
    <row r="26" spans="2:14">
      <c r="B26" s="428" t="s">
        <v>411</v>
      </c>
      <c r="C26" s="191"/>
      <c r="D26" s="194" t="s">
        <v>412</v>
      </c>
      <c r="E26" s="191"/>
      <c r="F26" s="194" t="s">
        <v>412</v>
      </c>
      <c r="G26" s="191"/>
      <c r="H26" s="194" t="s">
        <v>412</v>
      </c>
      <c r="I26" s="191"/>
      <c r="J26" s="194" t="s">
        <v>412</v>
      </c>
      <c r="K26" s="191"/>
      <c r="L26" s="194" t="s">
        <v>412</v>
      </c>
      <c r="M26" s="191"/>
      <c r="N26" s="194" t="s">
        <v>412</v>
      </c>
    </row>
    <row r="27" spans="2:14" ht="14.5" thickBot="1">
      <c r="B27" s="429" t="s">
        <v>413</v>
      </c>
      <c r="C27" s="200"/>
      <c r="D27" s="199" t="s">
        <v>386</v>
      </c>
      <c r="E27" s="200"/>
      <c r="F27" s="199" t="s">
        <v>386</v>
      </c>
      <c r="G27" s="200"/>
      <c r="H27" s="199" t="s">
        <v>386</v>
      </c>
      <c r="I27" s="200"/>
      <c r="J27" s="199" t="s">
        <v>386</v>
      </c>
      <c r="K27" s="200"/>
      <c r="L27" s="199" t="s">
        <v>386</v>
      </c>
      <c r="M27" s="200"/>
      <c r="N27" s="199" t="s">
        <v>386</v>
      </c>
    </row>
    <row r="28" spans="2:14">
      <c r="B28" s="201"/>
      <c r="D28" s="201"/>
      <c r="F28" s="201"/>
      <c r="H28" s="201"/>
      <c r="J28" s="201"/>
      <c r="L28" s="201"/>
      <c r="N28" s="201"/>
    </row>
    <row r="30" spans="2:14" s="288" customFormat="1" ht="21">
      <c r="B30" s="287" t="s">
        <v>414</v>
      </c>
      <c r="D30" s="287"/>
      <c r="E30" s="287"/>
      <c r="F30" s="287"/>
      <c r="G30" s="287"/>
    </row>
    <row r="31" spans="2:14" ht="14.5" thickBot="1"/>
    <row r="32" spans="2:14">
      <c r="B32" s="177"/>
      <c r="C32" s="178" t="str">
        <f>'Input BoM- Manufacturing'!B4</f>
        <v>Base case 1</v>
      </c>
      <c r="D32" s="179"/>
      <c r="E32" s="180" t="str">
        <f>'Input BoM- Manufacturing'!H4</f>
        <v>Base case 2</v>
      </c>
      <c r="F32" s="179"/>
      <c r="G32" s="180" t="str">
        <f>'Input BoM- Manufacturing'!N4</f>
        <v>Base case 3</v>
      </c>
      <c r="H32" s="179"/>
      <c r="I32" s="180" t="str">
        <f>'Input BoM- Manufacturing'!T4</f>
        <v>Base case 4</v>
      </c>
      <c r="J32" s="179"/>
      <c r="K32" s="180" t="str">
        <f>'Input BoM- Manufacturing'!Z4</f>
        <v>Base case 5</v>
      </c>
      <c r="L32" s="179"/>
      <c r="M32" s="180" t="str">
        <f>'Input BoM- Manufacturing'!AF4</f>
        <v>Base case 6</v>
      </c>
      <c r="N32" s="181"/>
    </row>
    <row r="33" spans="2:14" ht="28.5" thickBot="1">
      <c r="B33" s="182"/>
      <c r="C33" s="183" t="str">
        <f>'Input BoM- Manufacturing'!B5</f>
        <v>Undercounter water-change dishwashers</v>
      </c>
      <c r="D33" s="184"/>
      <c r="E33" s="185" t="str">
        <f>'Input BoM- Manufacturing'!H5</f>
        <v>Undercounter one-tank dishwashers</v>
      </c>
      <c r="F33" s="184"/>
      <c r="G33" s="185" t="str">
        <f>'Input BoM- Manufacturing'!N5</f>
        <v>Hood-type dishwashers</v>
      </c>
      <c r="H33" s="184"/>
      <c r="I33" s="185" t="str">
        <f>'Input BoM- Manufacturing'!T5</f>
        <v>Utensil / pot dishwashers</v>
      </c>
      <c r="J33" s="184"/>
      <c r="K33" s="185" t="str">
        <f>'Input BoM- Manufacturing'!Z5</f>
        <v>One-tank conveyor-type dishwashers</v>
      </c>
      <c r="L33" s="184"/>
      <c r="M33" s="186" t="str">
        <f>'Input BoM- Manufacturing'!AF5</f>
        <v>Multi-tank conveyor-type dishwashers</v>
      </c>
      <c r="N33" s="187"/>
    </row>
    <row r="34" spans="2:14" ht="14.5" thickBot="1">
      <c r="B34" s="188" t="s">
        <v>382</v>
      </c>
      <c r="C34" s="188" t="s">
        <v>305</v>
      </c>
      <c r="D34" s="188" t="s">
        <v>7</v>
      </c>
      <c r="E34" s="188" t="s">
        <v>305</v>
      </c>
      <c r="F34" s="188" t="s">
        <v>7</v>
      </c>
      <c r="G34" s="188" t="s">
        <v>305</v>
      </c>
      <c r="H34" s="188" t="s">
        <v>7</v>
      </c>
      <c r="I34" s="188" t="s">
        <v>305</v>
      </c>
      <c r="J34" s="188" t="s">
        <v>7</v>
      </c>
      <c r="K34" s="188" t="s">
        <v>305</v>
      </c>
      <c r="L34" s="188" t="s">
        <v>7</v>
      </c>
      <c r="M34" s="188" t="s">
        <v>305</v>
      </c>
      <c r="N34" s="188" t="s">
        <v>7</v>
      </c>
    </row>
    <row r="35" spans="2:14" ht="14.5" thickBot="1">
      <c r="B35" s="279" t="s">
        <v>415</v>
      </c>
      <c r="C35" s="279"/>
      <c r="D35" s="279"/>
      <c r="E35" s="279"/>
      <c r="F35" s="279"/>
      <c r="G35" s="279"/>
      <c r="H35" s="279"/>
      <c r="I35" s="279"/>
      <c r="J35" s="279"/>
      <c r="K35" s="279"/>
      <c r="L35" s="279"/>
      <c r="M35" s="279"/>
      <c r="N35" s="279"/>
    </row>
    <row r="36" spans="2:14">
      <c r="B36" s="82" t="s">
        <v>416</v>
      </c>
      <c r="C36" s="280">
        <f>'T3 Input data'!C226</f>
        <v>12</v>
      </c>
      <c r="D36" s="82" t="s">
        <v>417</v>
      </c>
      <c r="E36" s="280">
        <f>'T3 Input data'!C227</f>
        <v>8</v>
      </c>
      <c r="F36" s="82" t="s">
        <v>417</v>
      </c>
      <c r="G36" s="280">
        <f>'T3 Input data'!C228</f>
        <v>8</v>
      </c>
      <c r="H36" s="82" t="s">
        <v>417</v>
      </c>
      <c r="I36" s="280">
        <f>'T3 Input data'!C229</f>
        <v>9</v>
      </c>
      <c r="J36" s="82" t="s">
        <v>417</v>
      </c>
      <c r="K36" s="280">
        <f>'T3 Input data'!C230</f>
        <v>11</v>
      </c>
      <c r="L36" s="82" t="s">
        <v>417</v>
      </c>
      <c r="M36" s="280">
        <f>'T3 Input data'!C231</f>
        <v>15</v>
      </c>
      <c r="N36" s="82" t="s">
        <v>417</v>
      </c>
    </row>
    <row r="37" spans="2:14">
      <c r="B37" s="81" t="s">
        <v>418</v>
      </c>
      <c r="C37" s="281">
        <v>2.2000000000000002</v>
      </c>
      <c r="D37" s="81" t="s">
        <v>412</v>
      </c>
      <c r="E37" s="281">
        <v>2.2000000000000002</v>
      </c>
      <c r="F37" s="81" t="s">
        <v>412</v>
      </c>
      <c r="G37" s="281">
        <v>2.2000000000000002</v>
      </c>
      <c r="H37" s="81" t="s">
        <v>412</v>
      </c>
      <c r="I37" s="281">
        <v>2.2000000000000002</v>
      </c>
      <c r="J37" s="81" t="s">
        <v>412</v>
      </c>
      <c r="K37" s="281">
        <v>2.2000000000000002</v>
      </c>
      <c r="L37" s="81" t="s">
        <v>412</v>
      </c>
      <c r="M37" s="281">
        <v>2.2000000000000002</v>
      </c>
      <c r="N37" s="81" t="s">
        <v>412</v>
      </c>
    </row>
    <row r="38" spans="2:14" ht="14.5" thickBot="1">
      <c r="B38" s="282" t="s">
        <v>419</v>
      </c>
      <c r="C38" s="282"/>
      <c r="D38" s="282"/>
      <c r="E38" s="282"/>
      <c r="F38" s="282"/>
      <c r="G38" s="282"/>
      <c r="H38" s="282"/>
      <c r="I38" s="282"/>
      <c r="J38" s="282"/>
      <c r="K38" s="282"/>
      <c r="L38" s="282"/>
      <c r="M38" s="282"/>
      <c r="N38" s="282"/>
    </row>
    <row r="39" spans="2:14" s="544" customFormat="1">
      <c r="B39" s="41" t="s">
        <v>420</v>
      </c>
      <c r="C39" s="542">
        <v>2.3404000000000001E-2</v>
      </c>
      <c r="D39" s="41" t="s">
        <v>421</v>
      </c>
      <c r="E39" s="543">
        <v>0.16201199999999999</v>
      </c>
      <c r="F39" s="41" t="s">
        <v>421</v>
      </c>
      <c r="G39" s="542">
        <v>7.7252000000000001E-2</v>
      </c>
      <c r="H39" s="41" t="s">
        <v>421</v>
      </c>
      <c r="I39" s="542">
        <v>3.0799999999999998E-3</v>
      </c>
      <c r="J39" s="41" t="s">
        <v>421</v>
      </c>
      <c r="K39" s="542">
        <v>7.7279999999999996E-3</v>
      </c>
      <c r="L39" s="41" t="s">
        <v>421</v>
      </c>
      <c r="M39" s="542">
        <v>1.5399999999999999E-3</v>
      </c>
      <c r="N39" s="41" t="s">
        <v>421</v>
      </c>
    </row>
    <row r="40" spans="2:14">
      <c r="B40" s="34" t="s">
        <v>422</v>
      </c>
      <c r="C40" s="449">
        <f>AVERAGE(AVERAGE(1632,975.74,1556,1486.13,995.99,1319.52),AVERAGE(4290,6798,5249,4167,6527.99,2778.19))</f>
        <v>3147.9633333333331</v>
      </c>
      <c r="D40" s="34" t="s">
        <v>423</v>
      </c>
      <c r="E40" s="449">
        <f>AVERAGE(1770,9547)</f>
        <v>5658.5</v>
      </c>
      <c r="F40" s="34" t="s">
        <v>423</v>
      </c>
      <c r="G40" s="449">
        <f>AVERAGE(AVERAGE(1640.27,2727,1799.99,5679),AVERAGE(10921,11298,16799.99,18434))</f>
        <v>8662.40625</v>
      </c>
      <c r="H40" s="34" t="s">
        <v>423</v>
      </c>
      <c r="I40" s="449">
        <f>AVERAGE(AVERAGE(2346,3609,8069),AVERAGE(15497.99,16679,18929))</f>
        <v>10854.998333333333</v>
      </c>
      <c r="J40" s="34" t="s">
        <v>423</v>
      </c>
      <c r="K40" s="449">
        <f>AVERAGE(AVERAGE(10679.99,11249),AVERAGE(15899.99,15749))</f>
        <v>13394.494999999999</v>
      </c>
      <c r="L40" s="34" t="s">
        <v>423</v>
      </c>
      <c r="M40" s="449">
        <f>AVERAGE(AVERAGE(17299.99,13069),AVERAGE(28649.99,32449))</f>
        <v>22866.995000000003</v>
      </c>
      <c r="N40" s="34" t="s">
        <v>423</v>
      </c>
    </row>
    <row r="41" spans="2:14">
      <c r="B41" s="34" t="s">
        <v>424</v>
      </c>
      <c r="C41" s="359">
        <v>15</v>
      </c>
      <c r="D41" s="34" t="s">
        <v>412</v>
      </c>
      <c r="E41" s="359">
        <v>15</v>
      </c>
      <c r="F41" s="34" t="s">
        <v>412</v>
      </c>
      <c r="G41" s="359">
        <v>15</v>
      </c>
      <c r="H41" s="34" t="s">
        <v>412</v>
      </c>
      <c r="I41" s="359">
        <v>15</v>
      </c>
      <c r="J41" s="34" t="s">
        <v>412</v>
      </c>
      <c r="K41" s="359">
        <v>15</v>
      </c>
      <c r="L41" s="34" t="s">
        <v>412</v>
      </c>
      <c r="M41" s="359">
        <v>15</v>
      </c>
      <c r="N41" s="34" t="s">
        <v>412</v>
      </c>
    </row>
    <row r="42" spans="2:14">
      <c r="B42" s="34" t="s">
        <v>425</v>
      </c>
      <c r="C42" s="34">
        <v>0</v>
      </c>
      <c r="D42" s="34" t="s">
        <v>426</v>
      </c>
      <c r="E42" s="34">
        <v>0</v>
      </c>
      <c r="F42" s="34" t="s">
        <v>426</v>
      </c>
      <c r="G42" s="34">
        <v>0</v>
      </c>
      <c r="H42" s="34" t="s">
        <v>426</v>
      </c>
      <c r="I42" s="34">
        <v>0</v>
      </c>
      <c r="J42" s="34" t="s">
        <v>426</v>
      </c>
      <c r="K42" s="34">
        <v>0</v>
      </c>
      <c r="L42" s="34" t="s">
        <v>426</v>
      </c>
      <c r="M42" s="34">
        <v>0</v>
      </c>
      <c r="N42" s="34" t="s">
        <v>426</v>
      </c>
    </row>
    <row r="43" spans="2:14">
      <c r="B43" s="34" t="s">
        <v>427</v>
      </c>
      <c r="C43" s="479">
        <f>AVERAGE(0.09,0.0789)*0.278</f>
        <v>2.3477100000000001E-2</v>
      </c>
      <c r="D43" s="34" t="s">
        <v>428</v>
      </c>
      <c r="E43" s="479">
        <f>AVERAGE(0.09,0.0789)*0.278</f>
        <v>2.3477100000000001E-2</v>
      </c>
      <c r="F43" s="34" t="s">
        <v>428</v>
      </c>
      <c r="G43" s="479">
        <f>AVERAGE(0.09,0.0789)*0.278</f>
        <v>2.3477100000000001E-2</v>
      </c>
      <c r="H43" s="34" t="s">
        <v>428</v>
      </c>
      <c r="I43" s="479">
        <f>AVERAGE(0.09,0.0789)*0.278</f>
        <v>2.3477100000000001E-2</v>
      </c>
      <c r="J43" s="34" t="s">
        <v>428</v>
      </c>
      <c r="K43" s="479">
        <f>AVERAGE(0.09,0.0789)*0.278</f>
        <v>2.3477100000000001E-2</v>
      </c>
      <c r="L43" s="34" t="s">
        <v>428</v>
      </c>
      <c r="M43" s="479">
        <f>AVERAGE(0.09,0.0789)*0.278</f>
        <v>2.3477100000000001E-2</v>
      </c>
      <c r="N43" s="34" t="s">
        <v>428</v>
      </c>
    </row>
    <row r="44" spans="2:14">
      <c r="B44" s="34" t="s">
        <v>429</v>
      </c>
      <c r="C44" s="283">
        <f>AVERAGE(0.2843,0.2299)</f>
        <v>0.2571</v>
      </c>
      <c r="D44" s="34" t="s">
        <v>430</v>
      </c>
      <c r="E44" s="283">
        <f>AVERAGE(0.2843,0.2299)</f>
        <v>0.2571</v>
      </c>
      <c r="F44" s="34" t="s">
        <v>430</v>
      </c>
      <c r="G44" s="283">
        <f>AVERAGE(0.2843,0.2299)</f>
        <v>0.2571</v>
      </c>
      <c r="H44" s="34" t="s">
        <v>430</v>
      </c>
      <c r="I44" s="283">
        <f>AVERAGE(0.2843,0.2299)</f>
        <v>0.2571</v>
      </c>
      <c r="J44" s="34" t="s">
        <v>430</v>
      </c>
      <c r="K44" s="283">
        <f>AVERAGE(0.2843,0.2299)</f>
        <v>0.2571</v>
      </c>
      <c r="L44" s="34" t="s">
        <v>430</v>
      </c>
      <c r="M44" s="283">
        <f>AVERAGE(0.2843,0.2299)</f>
        <v>0.2571</v>
      </c>
      <c r="N44" s="34" t="s">
        <v>430</v>
      </c>
    </row>
    <row r="45" spans="2:14">
      <c r="B45" s="34" t="s">
        <v>431</v>
      </c>
      <c r="C45" s="34">
        <f>1.91</f>
        <v>1.91</v>
      </c>
      <c r="D45" s="34" t="s">
        <v>432</v>
      </c>
      <c r="E45" s="34">
        <f>1.91</f>
        <v>1.91</v>
      </c>
      <c r="F45" s="34" t="s">
        <v>432</v>
      </c>
      <c r="G45" s="34">
        <f>1.91</f>
        <v>1.91</v>
      </c>
      <c r="H45" s="34" t="s">
        <v>432</v>
      </c>
      <c r="I45" s="34">
        <f>1.91</f>
        <v>1.91</v>
      </c>
      <c r="J45" s="34" t="s">
        <v>432</v>
      </c>
      <c r="K45" s="34">
        <f>1.91</f>
        <v>1.91</v>
      </c>
      <c r="L45" s="34" t="s">
        <v>432</v>
      </c>
      <c r="M45" s="34">
        <f>1.91</f>
        <v>1.91</v>
      </c>
      <c r="N45" s="34" t="s">
        <v>432</v>
      </c>
    </row>
    <row r="46" spans="2:14">
      <c r="B46" s="34" t="s">
        <v>433</v>
      </c>
      <c r="C46" s="449">
        <f>C40*44%</f>
        <v>1385.1038666666666</v>
      </c>
      <c r="D46" s="34" t="s">
        <v>426</v>
      </c>
      <c r="E46" s="449">
        <f>E40*44%</f>
        <v>2489.7400000000002</v>
      </c>
      <c r="F46" s="34" t="s">
        <v>426</v>
      </c>
      <c r="G46" s="449">
        <f>G40*44%</f>
        <v>3811.4587500000002</v>
      </c>
      <c r="H46" s="34" t="s">
        <v>426</v>
      </c>
      <c r="I46" s="449">
        <f>I40*44%</f>
        <v>4776.1992666666665</v>
      </c>
      <c r="J46" s="34" t="s">
        <v>426</v>
      </c>
      <c r="K46" s="449">
        <f>K40*44%</f>
        <v>5893.5778</v>
      </c>
      <c r="L46" s="34" t="s">
        <v>426</v>
      </c>
      <c r="M46" s="449">
        <f>M40*44%</f>
        <v>10061.477800000001</v>
      </c>
      <c r="N46" s="34" t="s">
        <v>426</v>
      </c>
    </row>
    <row r="47" spans="2:14">
      <c r="B47" s="34" t="s">
        <v>434</v>
      </c>
      <c r="C47" s="454">
        <v>0.03</v>
      </c>
      <c r="D47" s="34" t="s">
        <v>386</v>
      </c>
      <c r="E47" s="454">
        <v>0.03</v>
      </c>
      <c r="F47" s="34" t="s">
        <v>386</v>
      </c>
      <c r="G47" s="454">
        <v>0.03</v>
      </c>
      <c r="H47" s="34" t="s">
        <v>386</v>
      </c>
      <c r="I47" s="454">
        <v>0.03</v>
      </c>
      <c r="J47" s="34" t="s">
        <v>386</v>
      </c>
      <c r="K47" s="454">
        <v>0.03</v>
      </c>
      <c r="L47" s="34" t="s">
        <v>386</v>
      </c>
      <c r="M47" s="454">
        <v>0.03</v>
      </c>
      <c r="N47" s="34" t="s">
        <v>386</v>
      </c>
    </row>
    <row r="48" spans="2:14">
      <c r="B48" s="34" t="s">
        <v>435</v>
      </c>
      <c r="C48" s="478" t="e">
        <f>'BC1 Undercounter water-change'!#REF!</f>
        <v>#REF!</v>
      </c>
      <c r="D48" s="34" t="s">
        <v>386</v>
      </c>
      <c r="E48" s="478">
        <f>'BC2# Undercounter one-tank'!C196</f>
        <v>1.3538364175680327E-2</v>
      </c>
      <c r="F48" s="34" t="s">
        <v>386</v>
      </c>
      <c r="G48" s="478">
        <f>'BC3# Hood-type '!C196</f>
        <v>1.4368992961148625E-2</v>
      </c>
      <c r="H48" s="34" t="s">
        <v>386</v>
      </c>
      <c r="I48" s="478">
        <f>'BC4# Utensil or pot '!C195</f>
        <v>1.4436889146168778E-2</v>
      </c>
      <c r="J48" s="34" t="s">
        <v>386</v>
      </c>
      <c r="K48" s="478">
        <f>'BC5# One-tank conveyor-type '!C204</f>
        <v>1.4787910661816388E-2</v>
      </c>
      <c r="L48" s="34" t="s">
        <v>386</v>
      </c>
      <c r="M48" s="478">
        <f>'BC6# Multi-tank conveyor-type'!C203</f>
        <v>1.5167846227292248E-2</v>
      </c>
      <c r="N48" s="34" t="s">
        <v>386</v>
      </c>
    </row>
    <row r="49" spans="1:14">
      <c r="B49" s="34" t="s">
        <v>436</v>
      </c>
      <c r="C49" s="34">
        <v>0.9</v>
      </c>
      <c r="D49" s="34" t="s">
        <v>412</v>
      </c>
      <c r="E49" s="34">
        <v>1</v>
      </c>
      <c r="F49" s="34" t="s">
        <v>412</v>
      </c>
      <c r="G49" s="34">
        <v>1</v>
      </c>
      <c r="H49" s="34" t="s">
        <v>412</v>
      </c>
      <c r="I49" s="34">
        <v>0.95</v>
      </c>
      <c r="J49" s="34" t="s">
        <v>412</v>
      </c>
      <c r="K49" s="34">
        <v>0.7</v>
      </c>
      <c r="L49" s="34" t="s">
        <v>412</v>
      </c>
      <c r="M49" s="34">
        <v>0.7</v>
      </c>
      <c r="N49" s="34" t="s">
        <v>412</v>
      </c>
    </row>
    <row r="50" spans="1:14" ht="28">
      <c r="B50" s="34" t="s">
        <v>437</v>
      </c>
      <c r="C50" s="284">
        <f>AVERAGE(AVERAGE(3.9,4.09,1.87,3.4),AVERAGE(3.9,6.67,5.82,4.1))</f>
        <v>4.21875</v>
      </c>
      <c r="D50" s="34" t="s">
        <v>438</v>
      </c>
      <c r="E50" s="284">
        <f>AVERAGE(AVERAGE(3.9,4.09,1.87,3.4),AVERAGE(3.9,6.67,5.82,4.1))</f>
        <v>4.21875</v>
      </c>
      <c r="F50" s="34" t="s">
        <v>438</v>
      </c>
      <c r="G50" s="284">
        <f>AVERAGE(AVERAGE(3.9,4.09,1.87,3.4),AVERAGE(3.9,6.67,5.82,4.1))</f>
        <v>4.21875</v>
      </c>
      <c r="H50" s="34" t="s">
        <v>438</v>
      </c>
      <c r="I50" s="284">
        <f>AVERAGE(AVERAGE(3.9,4.09,1.87,3.4),AVERAGE(3.9,6.67,5.82,4.1))</f>
        <v>4.21875</v>
      </c>
      <c r="J50" s="34" t="s">
        <v>438</v>
      </c>
      <c r="K50" s="284">
        <f>AVERAGE(AVERAGE(3.9,4.09,1.87,3.4),AVERAGE(3.9,6.67,5.82,4.1))</f>
        <v>4.21875</v>
      </c>
      <c r="L50" s="34" t="s">
        <v>438</v>
      </c>
      <c r="M50" s="284">
        <f>AVERAGE(AVERAGE(3.9,4.09,1.87,3.4),AVERAGE(3.9,6.67,5.82,4.1))</f>
        <v>4.21875</v>
      </c>
      <c r="N50" s="34" t="s">
        <v>438</v>
      </c>
    </row>
    <row r="51" spans="1:14" ht="28">
      <c r="B51" s="34" t="s">
        <v>439</v>
      </c>
      <c r="C51" s="284">
        <f>AVERAGE(AVERAGE(2.8,3.9,2.15),AVERAGE(2.8,4.91,7))</f>
        <v>3.9266666666666667</v>
      </c>
      <c r="D51" s="34" t="s">
        <v>440</v>
      </c>
      <c r="E51" s="284">
        <f>AVERAGE(AVERAGE(2.8,3.9,2.15),AVERAGE(2.8,4.91,7))</f>
        <v>3.9266666666666667</v>
      </c>
      <c r="F51" s="34" t="s">
        <v>440</v>
      </c>
      <c r="G51" s="284">
        <f>AVERAGE(AVERAGE(2.8,3.9,2.15),AVERAGE(2.8,4.91,7))</f>
        <v>3.9266666666666667</v>
      </c>
      <c r="H51" s="34" t="s">
        <v>440</v>
      </c>
      <c r="I51" s="284">
        <f>AVERAGE(AVERAGE(2.8,3.9,2.15),AVERAGE(2.8,4.91,7))</f>
        <v>3.9266666666666667</v>
      </c>
      <c r="J51" s="34" t="s">
        <v>440</v>
      </c>
      <c r="K51" s="284">
        <f>AVERAGE(AVERAGE(2.8,3.9,2.15),AVERAGE(2.8,4.91,7))</f>
        <v>3.9266666666666667</v>
      </c>
      <c r="L51" s="34" t="s">
        <v>440</v>
      </c>
      <c r="M51" s="284">
        <f>AVERAGE(AVERAGE(2.8,3.9,2.15),AVERAGE(2.8,4.91,7))</f>
        <v>3.9266666666666667</v>
      </c>
      <c r="N51" s="34" t="s">
        <v>440</v>
      </c>
    </row>
    <row r="52" spans="1:14" ht="14.5" thickBot="1">
      <c r="B52" s="38" t="s">
        <v>441</v>
      </c>
      <c r="C52" s="38"/>
      <c r="D52" s="38"/>
      <c r="E52" s="38"/>
      <c r="F52" s="38"/>
      <c r="G52" s="38"/>
      <c r="H52" s="38"/>
      <c r="I52" s="38"/>
      <c r="J52" s="38"/>
      <c r="K52" s="38"/>
      <c r="L52" s="38"/>
      <c r="M52" s="38"/>
      <c r="N52" s="38"/>
    </row>
    <row r="53" spans="1:14" ht="14.5" thickBot="1">
      <c r="B53" s="282" t="s">
        <v>442</v>
      </c>
      <c r="C53" s="282"/>
      <c r="D53" s="282"/>
      <c r="E53" s="282"/>
      <c r="F53" s="282"/>
      <c r="G53" s="282"/>
      <c r="H53" s="282"/>
      <c r="I53" s="282"/>
      <c r="J53" s="282"/>
      <c r="K53" s="282"/>
      <c r="L53" s="282"/>
      <c r="M53" s="282"/>
      <c r="N53" s="282"/>
    </row>
    <row r="54" spans="1:14">
      <c r="A54" s="14">
        <v>0</v>
      </c>
      <c r="B54" s="546">
        <v>2023</v>
      </c>
      <c r="C54" s="191">
        <v>2.3404000000000001E-2</v>
      </c>
      <c r="D54" s="189" t="s">
        <v>421</v>
      </c>
      <c r="E54" s="191">
        <v>0.16201199999999999</v>
      </c>
      <c r="F54" s="189" t="s">
        <v>421</v>
      </c>
      <c r="G54" s="191">
        <v>7.7252000000000001E-2</v>
      </c>
      <c r="H54" s="189" t="s">
        <v>421</v>
      </c>
      <c r="I54" s="191">
        <v>3.0799999999999998E-3</v>
      </c>
      <c r="J54" s="189" t="s">
        <v>421</v>
      </c>
      <c r="K54" s="191">
        <v>7.7279999999999996E-3</v>
      </c>
      <c r="L54" s="189" t="s">
        <v>421</v>
      </c>
      <c r="M54" s="191">
        <v>1.5399999999999999E-3</v>
      </c>
      <c r="N54" s="189" t="s">
        <v>421</v>
      </c>
    </row>
    <row r="55" spans="1:14">
      <c r="A55" s="14">
        <v>1</v>
      </c>
      <c r="B55" s="547">
        <v>2022</v>
      </c>
      <c r="C55" s="191">
        <v>2.5271999999999999E-2</v>
      </c>
      <c r="D55" s="189" t="s">
        <v>421</v>
      </c>
      <c r="E55" s="191">
        <v>0.17494100000000001</v>
      </c>
      <c r="F55" s="189" t="s">
        <v>421</v>
      </c>
      <c r="G55" s="191">
        <v>8.3417000000000005E-2</v>
      </c>
      <c r="H55" s="189" t="s">
        <v>421</v>
      </c>
      <c r="I55" s="191">
        <v>3.326E-3</v>
      </c>
      <c r="J55" s="189" t="s">
        <v>421</v>
      </c>
      <c r="K55" s="191">
        <v>8.345E-3</v>
      </c>
      <c r="L55" s="189" t="s">
        <v>421</v>
      </c>
      <c r="M55" s="191">
        <v>1.663E-3</v>
      </c>
      <c r="N55" s="189" t="s">
        <v>421</v>
      </c>
    </row>
    <row r="56" spans="1:14">
      <c r="A56" s="14">
        <v>2</v>
      </c>
      <c r="B56" s="547">
        <v>2021</v>
      </c>
      <c r="C56" s="191">
        <v>2.3739E-2</v>
      </c>
      <c r="D56" s="189" t="s">
        <v>421</v>
      </c>
      <c r="E56" s="191">
        <v>0.16433400000000001</v>
      </c>
      <c r="F56" s="189" t="s">
        <v>421</v>
      </c>
      <c r="G56" s="191">
        <v>7.8358999999999998E-2</v>
      </c>
      <c r="H56" s="189" t="s">
        <v>421</v>
      </c>
      <c r="I56" s="191">
        <v>3.124E-3</v>
      </c>
      <c r="J56" s="189" t="s">
        <v>421</v>
      </c>
      <c r="K56" s="191">
        <v>7.8390000000000005E-3</v>
      </c>
      <c r="L56" s="189" t="s">
        <v>421</v>
      </c>
      <c r="M56" s="191">
        <v>1.562E-3</v>
      </c>
      <c r="N56" s="189" t="s">
        <v>421</v>
      </c>
    </row>
    <row r="57" spans="1:14">
      <c r="A57" s="14">
        <v>3</v>
      </c>
      <c r="B57" s="547">
        <v>2020</v>
      </c>
      <c r="C57" s="191">
        <v>2.0236000000000001E-2</v>
      </c>
      <c r="D57" s="189" t="s">
        <v>421</v>
      </c>
      <c r="E57" s="191">
        <v>0.14007900000000001</v>
      </c>
      <c r="F57" s="189" t="s">
        <v>421</v>
      </c>
      <c r="G57" s="191">
        <v>6.6794000000000006E-2</v>
      </c>
      <c r="H57" s="189" t="s">
        <v>421</v>
      </c>
      <c r="I57" s="191">
        <v>2.663E-3</v>
      </c>
      <c r="J57" s="189" t="s">
        <v>421</v>
      </c>
      <c r="K57" s="191">
        <v>6.6819999999999996E-3</v>
      </c>
      <c r="L57" s="189" t="s">
        <v>421</v>
      </c>
      <c r="M57" s="191">
        <v>1.3320000000000001E-3</v>
      </c>
      <c r="N57" s="189" t="s">
        <v>421</v>
      </c>
    </row>
    <row r="58" spans="1:14">
      <c r="A58" s="14">
        <v>4</v>
      </c>
      <c r="B58" s="547">
        <v>2019</v>
      </c>
      <c r="C58" s="191">
        <v>2.0669E-2</v>
      </c>
      <c r="D58" s="189" t="s">
        <v>421</v>
      </c>
      <c r="E58" s="191">
        <v>0.14308199999999999</v>
      </c>
      <c r="F58" s="189" t="s">
        <v>421</v>
      </c>
      <c r="G58" s="191">
        <v>6.8225999999999995E-2</v>
      </c>
      <c r="H58" s="189" t="s">
        <v>421</v>
      </c>
      <c r="I58" s="191">
        <v>2.7200000000000002E-3</v>
      </c>
      <c r="J58" s="189" t="s">
        <v>421</v>
      </c>
      <c r="K58" s="191">
        <v>6.8250000000000003E-3</v>
      </c>
      <c r="L58" s="189" t="s">
        <v>421</v>
      </c>
      <c r="M58" s="191">
        <v>1.3600000000000001E-3</v>
      </c>
      <c r="N58" s="189" t="s">
        <v>421</v>
      </c>
    </row>
    <row r="59" spans="1:14">
      <c r="A59" s="14">
        <v>5</v>
      </c>
      <c r="B59" s="547">
        <v>2018</v>
      </c>
      <c r="C59" s="191">
        <v>1.6792999999999999E-2</v>
      </c>
      <c r="D59" s="189" t="s">
        <v>421</v>
      </c>
      <c r="E59" s="191">
        <v>0.11625199999999999</v>
      </c>
      <c r="F59" s="189" t="s">
        <v>421</v>
      </c>
      <c r="G59" s="191">
        <v>5.5432000000000002E-2</v>
      </c>
      <c r="H59" s="189" t="s">
        <v>421</v>
      </c>
      <c r="I59" s="191">
        <v>2.2100000000000002E-3</v>
      </c>
      <c r="J59" s="189" t="s">
        <v>421</v>
      </c>
      <c r="K59" s="191">
        <v>5.5449999999999996E-3</v>
      </c>
      <c r="L59" s="189" t="s">
        <v>421</v>
      </c>
      <c r="M59" s="191">
        <v>1.1050000000000001E-3</v>
      </c>
      <c r="N59" s="189" t="s">
        <v>421</v>
      </c>
    </row>
    <row r="60" spans="1:14">
      <c r="A60" s="14">
        <v>6</v>
      </c>
      <c r="B60" s="547">
        <v>2017</v>
      </c>
      <c r="C60" s="191">
        <v>2.2682999999999998E-2</v>
      </c>
      <c r="D60" s="189" t="s">
        <v>421</v>
      </c>
      <c r="E60" s="191">
        <v>0.15701999999999999</v>
      </c>
      <c r="F60" s="189" t="s">
        <v>421</v>
      </c>
      <c r="G60" s="191">
        <v>7.4871999999999994E-2</v>
      </c>
      <c r="H60" s="189" t="s">
        <v>421</v>
      </c>
      <c r="I60" s="191">
        <v>2.9849999999999998E-3</v>
      </c>
      <c r="J60" s="189" t="s">
        <v>421</v>
      </c>
      <c r="K60" s="191">
        <v>7.4900000000000001E-3</v>
      </c>
      <c r="L60" s="189" t="s">
        <v>421</v>
      </c>
      <c r="M60" s="191">
        <v>1.493E-3</v>
      </c>
      <c r="N60" s="189" t="s">
        <v>421</v>
      </c>
    </row>
    <row r="61" spans="1:14">
      <c r="A61" s="14">
        <v>7</v>
      </c>
      <c r="B61" s="547">
        <v>2016</v>
      </c>
      <c r="C61" s="191">
        <v>1.719E-2</v>
      </c>
      <c r="D61" s="189" t="s">
        <v>421</v>
      </c>
      <c r="E61" s="191">
        <v>0.118994</v>
      </c>
      <c r="F61" s="189" t="s">
        <v>421</v>
      </c>
      <c r="G61" s="191">
        <v>5.6739999999999999E-2</v>
      </c>
      <c r="H61" s="189" t="s">
        <v>421</v>
      </c>
      <c r="I61" s="191">
        <v>2.2620000000000001E-3</v>
      </c>
      <c r="J61" s="189" t="s">
        <v>421</v>
      </c>
      <c r="K61" s="191">
        <v>5.6759999999999996E-3</v>
      </c>
      <c r="L61" s="189" t="s">
        <v>421</v>
      </c>
      <c r="M61" s="191">
        <v>1.1310000000000001E-3</v>
      </c>
      <c r="N61" s="189" t="s">
        <v>421</v>
      </c>
    </row>
    <row r="62" spans="1:14">
      <c r="A62" s="14">
        <v>8</v>
      </c>
      <c r="B62" s="547">
        <v>2015</v>
      </c>
      <c r="C62" s="191">
        <v>1.5646E-2</v>
      </c>
      <c r="D62" s="189" t="s">
        <v>421</v>
      </c>
      <c r="E62" s="191">
        <v>0.108305</v>
      </c>
      <c r="F62" s="189" t="s">
        <v>421</v>
      </c>
      <c r="G62" s="191">
        <v>5.1643000000000001E-2</v>
      </c>
      <c r="H62" s="189" t="s">
        <v>421</v>
      </c>
      <c r="I62" s="191">
        <v>2.0590000000000001E-3</v>
      </c>
      <c r="J62" s="189" t="s">
        <v>421</v>
      </c>
      <c r="K62" s="191">
        <v>5.1659999999999996E-3</v>
      </c>
      <c r="L62" s="189" t="s">
        <v>421</v>
      </c>
      <c r="M62" s="191">
        <v>1.0300000000000001E-3</v>
      </c>
      <c r="N62" s="189" t="s">
        <v>421</v>
      </c>
    </row>
    <row r="63" spans="1:14">
      <c r="A63" s="14">
        <v>9</v>
      </c>
      <c r="B63" s="547">
        <v>2014</v>
      </c>
      <c r="C63" s="191">
        <v>1.1565000000000001E-2</v>
      </c>
      <c r="D63" s="189" t="s">
        <v>421</v>
      </c>
      <c r="E63" s="191">
        <v>8.0059000000000005E-2</v>
      </c>
      <c r="F63" s="189" t="s">
        <v>421</v>
      </c>
      <c r="G63" s="191">
        <v>3.8175000000000001E-2</v>
      </c>
      <c r="H63" s="189" t="s">
        <v>421</v>
      </c>
      <c r="I63" s="191">
        <v>1.5219999999999999E-3</v>
      </c>
      <c r="J63" s="189" t="s">
        <v>421</v>
      </c>
      <c r="K63" s="191">
        <v>3.8189999999999999E-3</v>
      </c>
      <c r="L63" s="189" t="s">
        <v>421</v>
      </c>
      <c r="M63" s="191">
        <v>7.6099999999999996E-4</v>
      </c>
      <c r="N63" s="189" t="s">
        <v>421</v>
      </c>
    </row>
    <row r="64" spans="1:14">
      <c r="A64" s="14">
        <v>10</v>
      </c>
      <c r="B64" s="547">
        <v>2013</v>
      </c>
      <c r="C64" s="191">
        <v>9.4970000000000002E-3</v>
      </c>
      <c r="D64" s="189" t="s">
        <v>421</v>
      </c>
      <c r="E64" s="191">
        <v>6.5743999999999997E-2</v>
      </c>
      <c r="F64" s="189" t="s">
        <v>421</v>
      </c>
      <c r="G64" s="191">
        <v>3.1348000000000001E-2</v>
      </c>
      <c r="H64" s="189" t="s">
        <v>421</v>
      </c>
      <c r="I64" s="191">
        <v>1.25E-3</v>
      </c>
      <c r="J64" s="189" t="s">
        <v>421</v>
      </c>
      <c r="K64" s="191">
        <v>3.1359999999999999E-3</v>
      </c>
      <c r="L64" s="189" t="s">
        <v>421</v>
      </c>
      <c r="M64" s="191">
        <v>6.2500000000000001E-4</v>
      </c>
      <c r="N64" s="189" t="s">
        <v>421</v>
      </c>
    </row>
    <row r="65" spans="1:14">
      <c r="A65" s="14">
        <v>11</v>
      </c>
      <c r="B65" s="547">
        <v>2012</v>
      </c>
      <c r="C65" s="191">
        <v>3.6619999999999999E-3</v>
      </c>
      <c r="D65" s="189" t="s">
        <v>421</v>
      </c>
      <c r="E65" s="191">
        <v>2.5347000000000001E-2</v>
      </c>
      <c r="F65" s="189" t="s">
        <v>421</v>
      </c>
      <c r="G65" s="191">
        <v>1.2086E-2</v>
      </c>
      <c r="H65" s="189" t="s">
        <v>421</v>
      </c>
      <c r="I65" s="191">
        <v>4.8200000000000001E-4</v>
      </c>
      <c r="J65" s="189" t="s">
        <v>421</v>
      </c>
      <c r="K65" s="191">
        <v>1.209E-3</v>
      </c>
      <c r="L65" s="189" t="s">
        <v>421</v>
      </c>
      <c r="M65" s="191">
        <v>2.41E-4</v>
      </c>
      <c r="N65" s="189" t="s">
        <v>421</v>
      </c>
    </row>
    <row r="66" spans="1:14">
      <c r="A66" s="14">
        <v>12</v>
      </c>
      <c r="B66" s="547">
        <v>2011</v>
      </c>
      <c r="C66" s="191">
        <v>1.8808999999999999E-2</v>
      </c>
      <c r="D66" s="189" t="s">
        <v>421</v>
      </c>
      <c r="E66" s="191">
        <v>0.13020300000000001</v>
      </c>
      <c r="F66" s="189" t="s">
        <v>421</v>
      </c>
      <c r="G66" s="191">
        <v>6.2085000000000001E-2</v>
      </c>
      <c r="H66" s="189" t="s">
        <v>421</v>
      </c>
      <c r="I66" s="191">
        <v>2.4750000000000002E-3</v>
      </c>
      <c r="J66" s="189" t="s">
        <v>421</v>
      </c>
      <c r="K66" s="191">
        <v>6.2110000000000004E-3</v>
      </c>
      <c r="L66" s="189" t="s">
        <v>421</v>
      </c>
      <c r="M66" s="191">
        <v>1.238E-3</v>
      </c>
      <c r="N66" s="189" t="s">
        <v>421</v>
      </c>
    </row>
    <row r="67" spans="1:14">
      <c r="A67" s="14">
        <v>13</v>
      </c>
      <c r="B67" s="547">
        <v>2010</v>
      </c>
      <c r="C67" s="191">
        <v>1.9535E-2</v>
      </c>
      <c r="D67" s="189" t="s">
        <v>421</v>
      </c>
      <c r="E67" s="191">
        <v>0.13522799999999999</v>
      </c>
      <c r="F67" s="189" t="s">
        <v>421</v>
      </c>
      <c r="G67" s="191">
        <v>6.4480999999999997E-2</v>
      </c>
      <c r="H67" s="189" t="s">
        <v>421</v>
      </c>
      <c r="I67" s="191">
        <v>2.5709999999999999E-3</v>
      </c>
      <c r="J67" s="189" t="s">
        <v>421</v>
      </c>
      <c r="K67" s="191">
        <v>6.45E-3</v>
      </c>
      <c r="L67" s="189" t="s">
        <v>421</v>
      </c>
      <c r="M67" s="191">
        <v>1.2849999999999999E-3</v>
      </c>
      <c r="N67" s="189" t="s">
        <v>421</v>
      </c>
    </row>
    <row r="68" spans="1:14">
      <c r="A68" s="14">
        <v>14</v>
      </c>
      <c r="B68" s="547">
        <v>2009</v>
      </c>
      <c r="C68" s="191">
        <v>1.6864000000000001E-2</v>
      </c>
      <c r="D68" s="189" t="s">
        <v>421</v>
      </c>
      <c r="E68" s="191">
        <v>0.11673699999999999</v>
      </c>
      <c r="F68" s="189" t="s">
        <v>421</v>
      </c>
      <c r="G68" s="191">
        <v>5.5663999999999998E-2</v>
      </c>
      <c r="H68" s="189" t="s">
        <v>421</v>
      </c>
      <c r="I68" s="191">
        <v>2.2190000000000001E-3</v>
      </c>
      <c r="J68" s="189" t="s">
        <v>421</v>
      </c>
      <c r="K68" s="191">
        <v>5.568E-3</v>
      </c>
      <c r="L68" s="189" t="s">
        <v>421</v>
      </c>
      <c r="M68" s="191">
        <v>1.1100000000000001E-3</v>
      </c>
      <c r="N68" s="189" t="s">
        <v>421</v>
      </c>
    </row>
    <row r="69" spans="1:14">
      <c r="A69" s="14">
        <v>15</v>
      </c>
      <c r="B69" s="547">
        <v>2008</v>
      </c>
      <c r="C69" s="545">
        <v>2.427E-2</v>
      </c>
      <c r="D69" s="189" t="s">
        <v>421</v>
      </c>
      <c r="E69" s="191">
        <v>0.16800699999999999</v>
      </c>
      <c r="F69" s="189" t="s">
        <v>421</v>
      </c>
      <c r="G69" s="191">
        <v>8.0110000000000001E-2</v>
      </c>
      <c r="H69" s="189" t="s">
        <v>421</v>
      </c>
      <c r="I69" s="191">
        <v>3.1939999999999998E-3</v>
      </c>
      <c r="J69" s="189" t="s">
        <v>421</v>
      </c>
      <c r="K69" s="191">
        <v>8.0140000000000003E-3</v>
      </c>
      <c r="L69" s="189" t="s">
        <v>421</v>
      </c>
      <c r="M69" s="191">
        <v>1.5969999999999999E-3</v>
      </c>
      <c r="N69" s="189" t="s">
        <v>421</v>
      </c>
    </row>
    <row r="70" spans="1:14">
      <c r="A70" s="14">
        <v>16</v>
      </c>
      <c r="B70" s="547">
        <v>2007</v>
      </c>
      <c r="C70" s="550">
        <f>AVERAGE($C$54:$C$69)</f>
        <v>1.8114625000000002E-2</v>
      </c>
      <c r="D70" s="189" t="s">
        <v>421</v>
      </c>
      <c r="E70" s="191">
        <f>AVERAGE($E$54:$E$69)</f>
        <v>0.12539650000000002</v>
      </c>
      <c r="F70" s="189" t="s">
        <v>421</v>
      </c>
      <c r="G70" s="191">
        <f>AVERAGE($G$54:$G$69)</f>
        <v>5.9792750000000006E-2</v>
      </c>
      <c r="H70" s="189" t="s">
        <v>421</v>
      </c>
      <c r="I70" s="191">
        <f>AVERAGE($I$54:$I$69)</f>
        <v>2.3838750000000001E-3</v>
      </c>
      <c r="J70" s="189" t="s">
        <v>421</v>
      </c>
      <c r="K70" s="191">
        <f>AVERAGE($K$54:$K$69)</f>
        <v>5.9814374999999989E-3</v>
      </c>
      <c r="L70" s="189" t="s">
        <v>421</v>
      </c>
      <c r="M70" s="191">
        <f>AVERAGE($M$54:$M$69)</f>
        <v>1.1920625E-3</v>
      </c>
      <c r="N70" s="189" t="s">
        <v>421</v>
      </c>
    </row>
    <row r="71" spans="1:14">
      <c r="A71" s="14">
        <v>17</v>
      </c>
      <c r="B71" s="547">
        <v>2006</v>
      </c>
      <c r="C71" s="191">
        <f t="shared" ref="C71:C84" si="0">AVERAGE($C$54:$C$69)</f>
        <v>1.8114625000000002E-2</v>
      </c>
      <c r="D71" s="189" t="s">
        <v>421</v>
      </c>
      <c r="E71" s="191">
        <f t="shared" ref="E71:E84" si="1">AVERAGE($E$54:$E$69)</f>
        <v>0.12539650000000002</v>
      </c>
      <c r="F71" s="189" t="s">
        <v>421</v>
      </c>
      <c r="G71" s="191">
        <f t="shared" ref="G71:G84" si="2">AVERAGE($G$54:$G$69)</f>
        <v>5.9792750000000006E-2</v>
      </c>
      <c r="H71" s="189" t="s">
        <v>421</v>
      </c>
      <c r="I71" s="191">
        <f t="shared" ref="I71:I84" si="3">AVERAGE($I$54:$I$69)</f>
        <v>2.3838750000000001E-3</v>
      </c>
      <c r="J71" s="189" t="s">
        <v>421</v>
      </c>
      <c r="K71" s="191">
        <f t="shared" ref="K71:K84" si="4">AVERAGE($K$54:$K$69)</f>
        <v>5.9814374999999989E-3</v>
      </c>
      <c r="L71" s="189" t="s">
        <v>421</v>
      </c>
      <c r="M71" s="191">
        <f t="shared" ref="M71:M84" si="5">AVERAGE($M$54:$M$69)</f>
        <v>1.1920625E-3</v>
      </c>
      <c r="N71" s="189" t="s">
        <v>421</v>
      </c>
    </row>
    <row r="72" spans="1:14">
      <c r="A72" s="14">
        <v>18</v>
      </c>
      <c r="B72" s="547">
        <v>2005</v>
      </c>
      <c r="C72" s="191">
        <f t="shared" si="0"/>
        <v>1.8114625000000002E-2</v>
      </c>
      <c r="D72" s="189" t="s">
        <v>421</v>
      </c>
      <c r="E72" s="191">
        <f t="shared" si="1"/>
        <v>0.12539650000000002</v>
      </c>
      <c r="F72" s="189" t="s">
        <v>421</v>
      </c>
      <c r="G72" s="191">
        <f t="shared" si="2"/>
        <v>5.9792750000000006E-2</v>
      </c>
      <c r="H72" s="189" t="s">
        <v>421</v>
      </c>
      <c r="I72" s="191">
        <f t="shared" si="3"/>
        <v>2.3838750000000001E-3</v>
      </c>
      <c r="J72" s="189" t="s">
        <v>421</v>
      </c>
      <c r="K72" s="191">
        <f t="shared" si="4"/>
        <v>5.9814374999999989E-3</v>
      </c>
      <c r="L72" s="189" t="s">
        <v>421</v>
      </c>
      <c r="M72" s="191">
        <f t="shared" si="5"/>
        <v>1.1920625E-3</v>
      </c>
      <c r="N72" s="189" t="s">
        <v>421</v>
      </c>
    </row>
    <row r="73" spans="1:14">
      <c r="A73" s="14">
        <v>19</v>
      </c>
      <c r="B73" s="547">
        <v>2004</v>
      </c>
      <c r="C73" s="191">
        <f t="shared" si="0"/>
        <v>1.8114625000000002E-2</v>
      </c>
      <c r="D73" s="189" t="s">
        <v>421</v>
      </c>
      <c r="E73" s="191">
        <f t="shared" si="1"/>
        <v>0.12539650000000002</v>
      </c>
      <c r="F73" s="189" t="s">
        <v>421</v>
      </c>
      <c r="G73" s="191">
        <f t="shared" si="2"/>
        <v>5.9792750000000006E-2</v>
      </c>
      <c r="H73" s="189" t="s">
        <v>421</v>
      </c>
      <c r="I73" s="191">
        <f t="shared" si="3"/>
        <v>2.3838750000000001E-3</v>
      </c>
      <c r="J73" s="189" t="s">
        <v>421</v>
      </c>
      <c r="K73" s="191">
        <f t="shared" si="4"/>
        <v>5.9814374999999989E-3</v>
      </c>
      <c r="L73" s="189" t="s">
        <v>421</v>
      </c>
      <c r="M73" s="191">
        <f t="shared" si="5"/>
        <v>1.1920625E-3</v>
      </c>
      <c r="N73" s="189" t="s">
        <v>421</v>
      </c>
    </row>
    <row r="74" spans="1:14">
      <c r="A74" s="14">
        <v>20</v>
      </c>
      <c r="B74" s="547">
        <v>2003</v>
      </c>
      <c r="C74" s="191">
        <f t="shared" si="0"/>
        <v>1.8114625000000002E-2</v>
      </c>
      <c r="D74" s="189" t="s">
        <v>421</v>
      </c>
      <c r="E74" s="191">
        <f t="shared" si="1"/>
        <v>0.12539650000000002</v>
      </c>
      <c r="F74" s="189" t="s">
        <v>421</v>
      </c>
      <c r="G74" s="191">
        <f t="shared" si="2"/>
        <v>5.9792750000000006E-2</v>
      </c>
      <c r="H74" s="189" t="s">
        <v>421</v>
      </c>
      <c r="I74" s="191">
        <f t="shared" si="3"/>
        <v>2.3838750000000001E-3</v>
      </c>
      <c r="J74" s="189" t="s">
        <v>421</v>
      </c>
      <c r="K74" s="191">
        <f t="shared" si="4"/>
        <v>5.9814374999999989E-3</v>
      </c>
      <c r="L74" s="189" t="s">
        <v>421</v>
      </c>
      <c r="M74" s="191">
        <f t="shared" si="5"/>
        <v>1.1920625E-3</v>
      </c>
      <c r="N74" s="189" t="s">
        <v>421</v>
      </c>
    </row>
    <row r="75" spans="1:14">
      <c r="A75" s="14">
        <v>21</v>
      </c>
      <c r="B75" s="547">
        <v>2002</v>
      </c>
      <c r="C75" s="191">
        <f t="shared" si="0"/>
        <v>1.8114625000000002E-2</v>
      </c>
      <c r="D75" s="189" t="s">
        <v>421</v>
      </c>
      <c r="E75" s="191">
        <f t="shared" si="1"/>
        <v>0.12539650000000002</v>
      </c>
      <c r="F75" s="189" t="s">
        <v>421</v>
      </c>
      <c r="G75" s="191">
        <f t="shared" si="2"/>
        <v>5.9792750000000006E-2</v>
      </c>
      <c r="H75" s="189" t="s">
        <v>421</v>
      </c>
      <c r="I75" s="191">
        <f t="shared" si="3"/>
        <v>2.3838750000000001E-3</v>
      </c>
      <c r="J75" s="189" t="s">
        <v>421</v>
      </c>
      <c r="K75" s="191">
        <f t="shared" si="4"/>
        <v>5.9814374999999989E-3</v>
      </c>
      <c r="L75" s="189" t="s">
        <v>421</v>
      </c>
      <c r="M75" s="191">
        <f t="shared" si="5"/>
        <v>1.1920625E-3</v>
      </c>
      <c r="N75" s="189" t="s">
        <v>421</v>
      </c>
    </row>
    <row r="76" spans="1:14">
      <c r="A76" s="14">
        <v>22</v>
      </c>
      <c r="B76" s="547">
        <v>2001</v>
      </c>
      <c r="C76" s="191">
        <f t="shared" si="0"/>
        <v>1.8114625000000002E-2</v>
      </c>
      <c r="D76" s="189" t="s">
        <v>421</v>
      </c>
      <c r="E76" s="191">
        <f t="shared" si="1"/>
        <v>0.12539650000000002</v>
      </c>
      <c r="F76" s="189" t="s">
        <v>421</v>
      </c>
      <c r="G76" s="191">
        <f t="shared" si="2"/>
        <v>5.9792750000000006E-2</v>
      </c>
      <c r="H76" s="189" t="s">
        <v>421</v>
      </c>
      <c r="I76" s="191">
        <f t="shared" si="3"/>
        <v>2.3838750000000001E-3</v>
      </c>
      <c r="J76" s="189" t="s">
        <v>421</v>
      </c>
      <c r="K76" s="191">
        <f t="shared" si="4"/>
        <v>5.9814374999999989E-3</v>
      </c>
      <c r="L76" s="189" t="s">
        <v>421</v>
      </c>
      <c r="M76" s="191">
        <f t="shared" si="5"/>
        <v>1.1920625E-3</v>
      </c>
      <c r="N76" s="189" t="s">
        <v>421</v>
      </c>
    </row>
    <row r="77" spans="1:14">
      <c r="A77" s="14">
        <v>23</v>
      </c>
      <c r="B77" s="547">
        <v>2000</v>
      </c>
      <c r="C77" s="191">
        <f t="shared" si="0"/>
        <v>1.8114625000000002E-2</v>
      </c>
      <c r="D77" s="189" t="s">
        <v>421</v>
      </c>
      <c r="E77" s="191">
        <f t="shared" si="1"/>
        <v>0.12539650000000002</v>
      </c>
      <c r="F77" s="189" t="s">
        <v>421</v>
      </c>
      <c r="G77" s="191">
        <f t="shared" si="2"/>
        <v>5.9792750000000006E-2</v>
      </c>
      <c r="H77" s="189" t="s">
        <v>421</v>
      </c>
      <c r="I77" s="191">
        <f t="shared" si="3"/>
        <v>2.3838750000000001E-3</v>
      </c>
      <c r="J77" s="189" t="s">
        <v>421</v>
      </c>
      <c r="K77" s="191">
        <f t="shared" si="4"/>
        <v>5.9814374999999989E-3</v>
      </c>
      <c r="L77" s="189" t="s">
        <v>421</v>
      </c>
      <c r="M77" s="191">
        <f t="shared" si="5"/>
        <v>1.1920625E-3</v>
      </c>
      <c r="N77" s="189" t="s">
        <v>421</v>
      </c>
    </row>
    <row r="78" spans="1:14">
      <c r="A78" s="14">
        <v>24</v>
      </c>
      <c r="B78" s="547">
        <v>1999</v>
      </c>
      <c r="C78" s="191">
        <f t="shared" si="0"/>
        <v>1.8114625000000002E-2</v>
      </c>
      <c r="D78" s="189" t="s">
        <v>421</v>
      </c>
      <c r="E78" s="191">
        <f t="shared" si="1"/>
        <v>0.12539650000000002</v>
      </c>
      <c r="F78" s="189" t="s">
        <v>421</v>
      </c>
      <c r="G78" s="191">
        <f t="shared" si="2"/>
        <v>5.9792750000000006E-2</v>
      </c>
      <c r="H78" s="189" t="s">
        <v>421</v>
      </c>
      <c r="I78" s="191">
        <f t="shared" si="3"/>
        <v>2.3838750000000001E-3</v>
      </c>
      <c r="J78" s="189" t="s">
        <v>421</v>
      </c>
      <c r="K78" s="191">
        <f t="shared" si="4"/>
        <v>5.9814374999999989E-3</v>
      </c>
      <c r="L78" s="189" t="s">
        <v>421</v>
      </c>
      <c r="M78" s="191">
        <f t="shared" si="5"/>
        <v>1.1920625E-3</v>
      </c>
      <c r="N78" s="189" t="s">
        <v>421</v>
      </c>
    </row>
    <row r="79" spans="1:14">
      <c r="A79" s="14">
        <v>25</v>
      </c>
      <c r="B79" s="547">
        <v>1998</v>
      </c>
      <c r="C79" s="191">
        <f t="shared" si="0"/>
        <v>1.8114625000000002E-2</v>
      </c>
      <c r="D79" s="189" t="s">
        <v>421</v>
      </c>
      <c r="E79" s="191">
        <f t="shared" si="1"/>
        <v>0.12539650000000002</v>
      </c>
      <c r="F79" s="189" t="s">
        <v>421</v>
      </c>
      <c r="G79" s="191">
        <f t="shared" si="2"/>
        <v>5.9792750000000006E-2</v>
      </c>
      <c r="H79" s="189" t="s">
        <v>421</v>
      </c>
      <c r="I79" s="191">
        <f t="shared" si="3"/>
        <v>2.3838750000000001E-3</v>
      </c>
      <c r="J79" s="189" t="s">
        <v>421</v>
      </c>
      <c r="K79" s="191">
        <f t="shared" si="4"/>
        <v>5.9814374999999989E-3</v>
      </c>
      <c r="L79" s="189" t="s">
        <v>421</v>
      </c>
      <c r="M79" s="191">
        <f t="shared" si="5"/>
        <v>1.1920625E-3</v>
      </c>
      <c r="N79" s="189" t="s">
        <v>421</v>
      </c>
    </row>
    <row r="80" spans="1:14">
      <c r="A80" s="14">
        <v>26</v>
      </c>
      <c r="B80" s="547">
        <v>1997</v>
      </c>
      <c r="C80" s="191">
        <f t="shared" si="0"/>
        <v>1.8114625000000002E-2</v>
      </c>
      <c r="D80" s="189" t="s">
        <v>421</v>
      </c>
      <c r="E80" s="191">
        <f t="shared" si="1"/>
        <v>0.12539650000000002</v>
      </c>
      <c r="F80" s="189" t="s">
        <v>421</v>
      </c>
      <c r="G80" s="191">
        <f t="shared" si="2"/>
        <v>5.9792750000000006E-2</v>
      </c>
      <c r="H80" s="189" t="s">
        <v>421</v>
      </c>
      <c r="I80" s="191">
        <f t="shared" si="3"/>
        <v>2.3838750000000001E-3</v>
      </c>
      <c r="J80" s="189" t="s">
        <v>421</v>
      </c>
      <c r="K80" s="191">
        <f t="shared" si="4"/>
        <v>5.9814374999999989E-3</v>
      </c>
      <c r="L80" s="189" t="s">
        <v>421</v>
      </c>
      <c r="M80" s="191">
        <f t="shared" si="5"/>
        <v>1.1920625E-3</v>
      </c>
      <c r="N80" s="189" t="s">
        <v>421</v>
      </c>
    </row>
    <row r="81" spans="1:14">
      <c r="A81" s="14">
        <v>27</v>
      </c>
      <c r="B81" s="547">
        <v>1996</v>
      </c>
      <c r="C81" s="191">
        <f t="shared" si="0"/>
        <v>1.8114625000000002E-2</v>
      </c>
      <c r="D81" s="189" t="s">
        <v>421</v>
      </c>
      <c r="E81" s="191">
        <f t="shared" si="1"/>
        <v>0.12539650000000002</v>
      </c>
      <c r="F81" s="189" t="s">
        <v>421</v>
      </c>
      <c r="G81" s="191">
        <f t="shared" si="2"/>
        <v>5.9792750000000006E-2</v>
      </c>
      <c r="H81" s="189" t="s">
        <v>421</v>
      </c>
      <c r="I81" s="191">
        <f t="shared" si="3"/>
        <v>2.3838750000000001E-3</v>
      </c>
      <c r="J81" s="189" t="s">
        <v>421</v>
      </c>
      <c r="K81" s="191">
        <f t="shared" si="4"/>
        <v>5.9814374999999989E-3</v>
      </c>
      <c r="L81" s="189" t="s">
        <v>421</v>
      </c>
      <c r="M81" s="191">
        <f t="shared" si="5"/>
        <v>1.1920625E-3</v>
      </c>
      <c r="N81" s="189" t="s">
        <v>421</v>
      </c>
    </row>
    <row r="82" spans="1:14">
      <c r="A82" s="14">
        <v>28</v>
      </c>
      <c r="B82" s="547">
        <v>1995</v>
      </c>
      <c r="C82" s="191">
        <f t="shared" si="0"/>
        <v>1.8114625000000002E-2</v>
      </c>
      <c r="D82" s="189" t="s">
        <v>421</v>
      </c>
      <c r="E82" s="191">
        <f t="shared" si="1"/>
        <v>0.12539650000000002</v>
      </c>
      <c r="F82" s="189" t="s">
        <v>421</v>
      </c>
      <c r="G82" s="191">
        <f t="shared" si="2"/>
        <v>5.9792750000000006E-2</v>
      </c>
      <c r="H82" s="189" t="s">
        <v>421</v>
      </c>
      <c r="I82" s="191">
        <f t="shared" si="3"/>
        <v>2.3838750000000001E-3</v>
      </c>
      <c r="J82" s="189" t="s">
        <v>421</v>
      </c>
      <c r="K82" s="191">
        <f t="shared" si="4"/>
        <v>5.9814374999999989E-3</v>
      </c>
      <c r="L82" s="189" t="s">
        <v>421</v>
      </c>
      <c r="M82" s="191">
        <f t="shared" si="5"/>
        <v>1.1920625E-3</v>
      </c>
      <c r="N82" s="189" t="s">
        <v>421</v>
      </c>
    </row>
    <row r="83" spans="1:14">
      <c r="A83" s="14">
        <v>29</v>
      </c>
      <c r="B83" s="547">
        <v>1994</v>
      </c>
      <c r="C83" s="191">
        <f t="shared" si="0"/>
        <v>1.8114625000000002E-2</v>
      </c>
      <c r="D83" s="191" t="s">
        <v>421</v>
      </c>
      <c r="E83" s="191">
        <f t="shared" si="1"/>
        <v>0.12539650000000002</v>
      </c>
      <c r="F83" s="191" t="s">
        <v>421</v>
      </c>
      <c r="G83" s="191">
        <f t="shared" si="2"/>
        <v>5.9792750000000006E-2</v>
      </c>
      <c r="H83" s="191" t="s">
        <v>421</v>
      </c>
      <c r="I83" s="191">
        <f t="shared" si="3"/>
        <v>2.3838750000000001E-3</v>
      </c>
      <c r="J83" s="191" t="s">
        <v>421</v>
      </c>
      <c r="K83" s="191">
        <f t="shared" si="4"/>
        <v>5.9814374999999989E-3</v>
      </c>
      <c r="L83" s="191" t="s">
        <v>421</v>
      </c>
      <c r="M83" s="191">
        <f t="shared" si="5"/>
        <v>1.1920625E-3</v>
      </c>
      <c r="N83" s="191" t="s">
        <v>421</v>
      </c>
    </row>
    <row r="84" spans="1:14" ht="14.5" thickBot="1">
      <c r="A84" s="14">
        <v>30</v>
      </c>
      <c r="B84" s="548">
        <v>1993</v>
      </c>
      <c r="C84" s="549">
        <f t="shared" si="0"/>
        <v>1.8114625000000002E-2</v>
      </c>
      <c r="D84" s="549" t="s">
        <v>421</v>
      </c>
      <c r="E84" s="549">
        <f t="shared" si="1"/>
        <v>0.12539650000000002</v>
      </c>
      <c r="F84" s="549" t="s">
        <v>421</v>
      </c>
      <c r="G84" s="549">
        <f t="shared" si="2"/>
        <v>5.9792750000000006E-2</v>
      </c>
      <c r="H84" s="549" t="s">
        <v>421</v>
      </c>
      <c r="I84" s="549">
        <f t="shared" si="3"/>
        <v>2.3838750000000001E-3</v>
      </c>
      <c r="J84" s="549" t="s">
        <v>421</v>
      </c>
      <c r="K84" s="549">
        <f t="shared" si="4"/>
        <v>5.9814374999999989E-3</v>
      </c>
      <c r="L84" s="549" t="s">
        <v>421</v>
      </c>
      <c r="M84" s="549">
        <f t="shared" si="5"/>
        <v>1.1920625E-3</v>
      </c>
      <c r="N84" s="549" t="s">
        <v>421</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CA9E5-AB88-4A7A-90EB-9617CB6A5EF6}">
  <sheetPr>
    <tabColor theme="6"/>
  </sheetPr>
  <dimension ref="A1:S42"/>
  <sheetViews>
    <sheetView tabSelected="1" workbookViewId="0">
      <selection activeCell="A2" sqref="A2"/>
    </sheetView>
  </sheetViews>
  <sheetFormatPr baseColWidth="10" defaultColWidth="8.08203125" defaultRowHeight="14"/>
  <cols>
    <col min="10" max="10" width="5.08203125" customWidth="1"/>
    <col min="11" max="11" width="17.25" customWidth="1"/>
    <col min="12" max="12" width="13.9140625" customWidth="1"/>
    <col min="13" max="13" width="14.83203125" customWidth="1"/>
    <col min="14" max="15" width="11.1640625" customWidth="1"/>
    <col min="16" max="16" width="16.08203125" customWidth="1"/>
    <col min="17" max="18" width="11.1640625" customWidth="1"/>
  </cols>
  <sheetData>
    <row r="1" spans="1:11" ht="21">
      <c r="A1" s="606" t="s">
        <v>673</v>
      </c>
      <c r="B1" s="607"/>
      <c r="C1" s="607"/>
      <c r="D1" s="607"/>
      <c r="E1" s="607"/>
      <c r="F1" s="607"/>
    </row>
    <row r="2" spans="1:11" ht="14.5">
      <c r="A2" s="607"/>
      <c r="B2" s="607"/>
      <c r="C2" s="607"/>
      <c r="D2" s="607"/>
      <c r="E2" s="607"/>
      <c r="F2" s="607"/>
    </row>
    <row r="3" spans="1:11" ht="14.5" customHeight="1">
      <c r="A3" s="661" t="s">
        <v>694</v>
      </c>
      <c r="B3" s="662"/>
      <c r="C3" s="662"/>
      <c r="D3" s="662"/>
      <c r="E3" s="662"/>
      <c r="F3" s="662"/>
      <c r="G3" s="662"/>
      <c r="H3" s="662"/>
      <c r="I3" s="663"/>
    </row>
    <row r="4" spans="1:11" ht="14.25" customHeight="1">
      <c r="A4" s="664"/>
      <c r="B4" s="665"/>
      <c r="C4" s="665"/>
      <c r="D4" s="665"/>
      <c r="E4" s="665"/>
      <c r="F4" s="665"/>
      <c r="G4" s="665"/>
      <c r="H4" s="665"/>
      <c r="I4" s="666"/>
      <c r="K4" s="289"/>
    </row>
    <row r="5" spans="1:11" ht="14.5" customHeight="1">
      <c r="A5" s="664"/>
      <c r="B5" s="665"/>
      <c r="C5" s="665"/>
      <c r="D5" s="665"/>
      <c r="E5" s="665"/>
      <c r="F5" s="665"/>
      <c r="G5" s="665"/>
      <c r="H5" s="665"/>
      <c r="I5" s="666"/>
      <c r="K5" s="608"/>
    </row>
    <row r="6" spans="1:11" ht="14.5" customHeight="1">
      <c r="A6" s="664"/>
      <c r="B6" s="665"/>
      <c r="C6" s="665"/>
      <c r="D6" s="665"/>
      <c r="E6" s="665"/>
      <c r="F6" s="665"/>
      <c r="G6" s="665"/>
      <c r="H6" s="665"/>
      <c r="I6" s="666"/>
    </row>
    <row r="7" spans="1:11" ht="14.5" customHeight="1">
      <c r="A7" s="664"/>
      <c r="B7" s="665"/>
      <c r="C7" s="665"/>
      <c r="D7" s="665"/>
      <c r="E7" s="665"/>
      <c r="F7" s="665"/>
      <c r="G7" s="665"/>
      <c r="H7" s="665"/>
      <c r="I7" s="666"/>
    </row>
    <row r="8" spans="1:11" ht="23.15" customHeight="1">
      <c r="A8" s="664"/>
      <c r="B8" s="665"/>
      <c r="C8" s="665"/>
      <c r="D8" s="665"/>
      <c r="E8" s="665"/>
      <c r="F8" s="665"/>
      <c r="G8" s="665"/>
      <c r="H8" s="665"/>
      <c r="I8" s="666"/>
    </row>
    <row r="9" spans="1:11" ht="14.5" customHeight="1">
      <c r="A9" s="664"/>
      <c r="B9" s="665"/>
      <c r="C9" s="665"/>
      <c r="D9" s="665"/>
      <c r="E9" s="665"/>
      <c r="F9" s="665"/>
      <c r="G9" s="665"/>
      <c r="H9" s="665"/>
      <c r="I9" s="666"/>
    </row>
    <row r="10" spans="1:11" ht="24.65" customHeight="1">
      <c r="A10" s="664"/>
      <c r="B10" s="665"/>
      <c r="C10" s="665"/>
      <c r="D10" s="665"/>
      <c r="E10" s="665"/>
      <c r="F10" s="665"/>
      <c r="G10" s="665"/>
      <c r="H10" s="665"/>
      <c r="I10" s="666"/>
    </row>
    <row r="11" spans="1:11" ht="24.65" customHeight="1">
      <c r="A11" s="664"/>
      <c r="B11" s="665"/>
      <c r="C11" s="665"/>
      <c r="D11" s="665"/>
      <c r="E11" s="665"/>
      <c r="F11" s="665"/>
      <c r="G11" s="665"/>
      <c r="H11" s="665"/>
      <c r="I11" s="666"/>
    </row>
    <row r="12" spans="1:11" ht="182.25" customHeight="1">
      <c r="A12" s="667"/>
      <c r="B12" s="668"/>
      <c r="C12" s="668"/>
      <c r="D12" s="668"/>
      <c r="E12" s="668"/>
      <c r="F12" s="668"/>
      <c r="G12" s="668"/>
      <c r="H12" s="668"/>
      <c r="I12" s="669"/>
    </row>
    <row r="13" spans="1:11">
      <c r="A13" s="661" t="s">
        <v>707</v>
      </c>
      <c r="B13" s="670"/>
      <c r="C13" s="670"/>
      <c r="D13" s="670"/>
      <c r="E13" s="670"/>
      <c r="F13" s="670"/>
      <c r="G13" s="670"/>
      <c r="H13" s="670"/>
      <c r="I13" s="671"/>
    </row>
    <row r="14" spans="1:11">
      <c r="A14" s="672"/>
      <c r="B14" s="673"/>
      <c r="C14" s="673"/>
      <c r="D14" s="673"/>
      <c r="E14" s="673"/>
      <c r="F14" s="673"/>
      <c r="G14" s="673"/>
      <c r="H14" s="673"/>
      <c r="I14" s="674"/>
    </row>
    <row r="15" spans="1:11">
      <c r="A15" s="672"/>
      <c r="B15" s="673"/>
      <c r="C15" s="673"/>
      <c r="D15" s="673"/>
      <c r="E15" s="673"/>
      <c r="F15" s="673"/>
      <c r="G15" s="673"/>
      <c r="H15" s="673"/>
      <c r="I15" s="674"/>
    </row>
    <row r="16" spans="1:11">
      <c r="A16" s="672"/>
      <c r="B16" s="673"/>
      <c r="C16" s="673"/>
      <c r="D16" s="673"/>
      <c r="E16" s="673"/>
      <c r="F16" s="673"/>
      <c r="G16" s="673"/>
      <c r="H16" s="673"/>
      <c r="I16" s="674"/>
    </row>
    <row r="17" spans="1:9">
      <c r="A17" s="672"/>
      <c r="B17" s="673"/>
      <c r="C17" s="673"/>
      <c r="D17" s="673"/>
      <c r="E17" s="673"/>
      <c r="F17" s="673"/>
      <c r="G17" s="673"/>
      <c r="H17" s="673"/>
      <c r="I17" s="674"/>
    </row>
    <row r="18" spans="1:9">
      <c r="A18" s="672"/>
      <c r="B18" s="673"/>
      <c r="C18" s="673"/>
      <c r="D18" s="673"/>
      <c r="E18" s="673"/>
      <c r="F18" s="673"/>
      <c r="G18" s="673"/>
      <c r="H18" s="673"/>
      <c r="I18" s="674"/>
    </row>
    <row r="19" spans="1:9">
      <c r="A19" s="672"/>
      <c r="B19" s="673"/>
      <c r="C19" s="673"/>
      <c r="D19" s="673"/>
      <c r="E19" s="673"/>
      <c r="F19" s="673"/>
      <c r="G19" s="673"/>
      <c r="H19" s="673"/>
      <c r="I19" s="674"/>
    </row>
    <row r="20" spans="1:9">
      <c r="A20" s="672"/>
      <c r="B20" s="673"/>
      <c r="C20" s="673"/>
      <c r="D20" s="673"/>
      <c r="E20" s="673"/>
      <c r="F20" s="673"/>
      <c r="G20" s="673"/>
      <c r="H20" s="673"/>
      <c r="I20" s="674"/>
    </row>
    <row r="21" spans="1:9">
      <c r="A21" s="672"/>
      <c r="B21" s="673"/>
      <c r="C21" s="673"/>
      <c r="D21" s="673"/>
      <c r="E21" s="673"/>
      <c r="F21" s="673"/>
      <c r="G21" s="673"/>
      <c r="H21" s="673"/>
      <c r="I21" s="674"/>
    </row>
    <row r="22" spans="1:9" ht="159" customHeight="1">
      <c r="A22" s="675"/>
      <c r="B22" s="676"/>
      <c r="C22" s="676"/>
      <c r="D22" s="676"/>
      <c r="E22" s="676"/>
      <c r="F22" s="676"/>
      <c r="G22" s="676"/>
      <c r="H22" s="676"/>
      <c r="I22" s="677"/>
    </row>
    <row r="25" spans="1:9" ht="15" customHeight="1"/>
    <row r="32" spans="1:9" ht="15" customHeight="1"/>
    <row r="37" spans="11:19" ht="23.15" customHeight="1"/>
    <row r="38" spans="11:19" ht="24" customHeight="1"/>
    <row r="41" spans="11:19">
      <c r="K41" s="609"/>
      <c r="L41" s="610"/>
      <c r="M41" s="610"/>
      <c r="N41" s="610"/>
      <c r="O41" s="610"/>
      <c r="P41" s="609"/>
      <c r="Q41" s="610"/>
      <c r="R41" s="610"/>
      <c r="S41" s="610"/>
    </row>
    <row r="42" spans="11:19" ht="24" customHeight="1"/>
  </sheetData>
  <mergeCells count="2">
    <mergeCell ref="A3:I12"/>
    <mergeCell ref="A13:I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1CE86-06AA-43AA-BD70-B699B10F611B}">
  <dimension ref="A2:E9"/>
  <sheetViews>
    <sheetView workbookViewId="0">
      <pane xSplit="2" ySplit="2" topLeftCell="C3" activePane="bottomRight" state="frozen"/>
      <selection pane="topRight" activeCell="C1" sqref="C1"/>
      <selection pane="bottomLeft" activeCell="A3" sqref="A3"/>
      <selection pane="bottomRight"/>
    </sheetView>
  </sheetViews>
  <sheetFormatPr baseColWidth="10" defaultRowHeight="14"/>
  <cols>
    <col min="1" max="1" width="12.83203125" style="14" customWidth="1"/>
    <col min="2" max="2" width="33.58203125" style="14" customWidth="1"/>
    <col min="3" max="3" width="60.75" style="14" customWidth="1"/>
    <col min="4" max="5" width="60.75" style="147" customWidth="1"/>
    <col min="6" max="16384" width="10.6640625" style="14"/>
  </cols>
  <sheetData>
    <row r="2" spans="1:5" ht="36.75" customHeight="1">
      <c r="A2" s="646" t="s">
        <v>664</v>
      </c>
      <c r="B2" s="647" t="s">
        <v>665</v>
      </c>
      <c r="C2" s="647" t="s">
        <v>666</v>
      </c>
      <c r="D2" s="646" t="s">
        <v>693</v>
      </c>
      <c r="E2" s="646" t="s">
        <v>704</v>
      </c>
    </row>
    <row r="3" spans="1:5" ht="84">
      <c r="A3" s="648" t="s">
        <v>647</v>
      </c>
      <c r="B3" s="649" t="s">
        <v>688</v>
      </c>
      <c r="C3" s="650" t="s">
        <v>695</v>
      </c>
      <c r="D3" s="651" t="s">
        <v>690</v>
      </c>
      <c r="E3" s="652"/>
    </row>
    <row r="4" spans="1:5" ht="90" customHeight="1">
      <c r="A4" s="648" t="s">
        <v>648</v>
      </c>
      <c r="B4" s="650" t="s">
        <v>633</v>
      </c>
      <c r="C4" s="650" t="s">
        <v>691</v>
      </c>
      <c r="D4" s="651" t="s">
        <v>703</v>
      </c>
      <c r="E4" s="652"/>
    </row>
    <row r="5" spans="1:5" ht="84">
      <c r="A5" s="648" t="s">
        <v>649</v>
      </c>
      <c r="B5" s="650" t="s">
        <v>689</v>
      </c>
      <c r="C5" s="650" t="s">
        <v>696</v>
      </c>
      <c r="D5" s="651" t="s">
        <v>697</v>
      </c>
      <c r="E5" s="652"/>
    </row>
    <row r="6" spans="1:5" ht="84">
      <c r="A6" s="648" t="s">
        <v>650</v>
      </c>
      <c r="B6" s="650" t="s">
        <v>686</v>
      </c>
      <c r="C6" s="650" t="s">
        <v>698</v>
      </c>
      <c r="D6" s="651" t="s">
        <v>699</v>
      </c>
      <c r="E6" s="652"/>
    </row>
    <row r="7" spans="1:5" ht="106.5" customHeight="1">
      <c r="A7" s="648" t="s">
        <v>651</v>
      </c>
      <c r="B7" s="650" t="s">
        <v>687</v>
      </c>
      <c r="C7" s="650" t="s">
        <v>700</v>
      </c>
      <c r="D7" s="651" t="s">
        <v>701</v>
      </c>
      <c r="E7" s="652"/>
    </row>
    <row r="8" spans="1:5" ht="137.25" customHeight="1">
      <c r="A8" s="648" t="s">
        <v>652</v>
      </c>
      <c r="B8" s="650" t="s">
        <v>685</v>
      </c>
      <c r="C8" s="650" t="s">
        <v>702</v>
      </c>
      <c r="D8" s="651" t="s">
        <v>692</v>
      </c>
      <c r="E8" s="652"/>
    </row>
    <row r="9" spans="1:5" ht="74.25" customHeight="1">
      <c r="A9" s="648" t="s">
        <v>682</v>
      </c>
      <c r="B9" s="653" t="s">
        <v>706</v>
      </c>
      <c r="C9" s="653" t="s">
        <v>705</v>
      </c>
      <c r="D9" s="652"/>
      <c r="E9" s="652"/>
    </row>
  </sheetData>
  <phoneticPr fontId="15" type="noConversion"/>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F6A74-6B42-4E87-8C92-014D628657AC}">
  <sheetPr>
    <tabColor theme="5"/>
  </sheetPr>
  <dimension ref="A1:P68"/>
  <sheetViews>
    <sheetView zoomScale="90" zoomScaleNormal="90" workbookViewId="0">
      <selection activeCell="B2" sqref="B2"/>
    </sheetView>
  </sheetViews>
  <sheetFormatPr baseColWidth="10" defaultColWidth="8.75" defaultRowHeight="14"/>
  <cols>
    <col min="1" max="1" width="5" style="3" customWidth="1"/>
    <col min="2" max="2" width="38.33203125" style="3" customWidth="1"/>
    <col min="3" max="3" width="12.25" style="3" customWidth="1"/>
    <col min="4" max="4" width="9.75" style="3" customWidth="1"/>
    <col min="5" max="5" width="23.5" style="3" customWidth="1"/>
    <col min="6" max="12" width="20.6640625" style="579" customWidth="1"/>
    <col min="13" max="13" width="24.25" style="3" customWidth="1"/>
    <col min="14" max="14" width="18.75" style="3" customWidth="1"/>
    <col min="15" max="15" width="26.83203125" style="3" customWidth="1"/>
    <col min="16" max="16" width="102.83203125" style="3" customWidth="1"/>
    <col min="17" max="17" width="101.4140625" style="3" customWidth="1"/>
    <col min="18" max="16384" width="8.75" style="3"/>
  </cols>
  <sheetData>
    <row r="1" spans="2:12" ht="23.5">
      <c r="B1" s="6" t="s">
        <v>681</v>
      </c>
      <c r="C1"/>
    </row>
    <row r="2" spans="2:12" ht="18.5">
      <c r="B2" s="618" t="s">
        <v>674</v>
      </c>
      <c r="C2"/>
    </row>
    <row r="3" spans="2:12" ht="18.5">
      <c r="B3" s="618"/>
      <c r="C3"/>
    </row>
    <row r="4" spans="2:12" ht="21">
      <c r="B4" s="619" t="s">
        <v>675</v>
      </c>
      <c r="C4" s="54"/>
      <c r="D4" s="54"/>
      <c r="E4" s="53"/>
      <c r="F4" s="619"/>
    </row>
    <row r="5" spans="2:12" s="567" customFormat="1" ht="16">
      <c r="B5" s="681" t="s">
        <v>680</v>
      </c>
      <c r="C5" s="681"/>
      <c r="D5" s="681"/>
      <c r="E5" s="681"/>
      <c r="F5" s="620"/>
      <c r="G5" s="620"/>
      <c r="H5" s="620"/>
      <c r="I5" s="620"/>
      <c r="J5" s="620"/>
      <c r="K5" s="620"/>
      <c r="L5" s="620"/>
    </row>
    <row r="6" spans="2:12" ht="24" thickBot="1">
      <c r="B6" s="6"/>
      <c r="C6"/>
      <c r="F6" s="621" t="s">
        <v>646</v>
      </c>
      <c r="G6" s="621" t="s">
        <v>653</v>
      </c>
      <c r="H6" s="621" t="s">
        <v>654</v>
      </c>
      <c r="I6" s="621" t="s">
        <v>655</v>
      </c>
      <c r="J6" s="621" t="s">
        <v>656</v>
      </c>
      <c r="K6" s="621" t="s">
        <v>657</v>
      </c>
      <c r="L6" s="621" t="s">
        <v>683</v>
      </c>
    </row>
    <row r="7" spans="2:12" ht="59" thickBot="1">
      <c r="B7" s="6"/>
      <c r="C7"/>
      <c r="E7" s="631" t="s">
        <v>676</v>
      </c>
      <c r="F7" s="587" t="str">
        <f>F19</f>
        <v>Exhaust heat recovery (regenerator)</v>
      </c>
      <c r="G7" s="588" t="str">
        <f t="shared" ref="G7:L7" si="0">G19</f>
        <v>Exhaust air heat pump</v>
      </c>
      <c r="H7" s="588" t="str">
        <f t="shared" si="0"/>
        <v>Automatic programme for load and soil recognition</v>
      </c>
      <c r="I7" s="588" t="str">
        <f t="shared" si="0"/>
        <v xml:space="preserve">Improved thermal insulation (double-walled design) </v>
      </c>
      <c r="J7" s="588" t="str">
        <f t="shared" si="0"/>
        <v>Further substitution  of metals by polymers</v>
      </c>
      <c r="K7" s="588" t="str">
        <f t="shared" si="0"/>
        <v>Modular design and reuse of electronics</v>
      </c>
      <c r="L7" s="589" t="str">
        <f t="shared" si="0"/>
        <v xml:space="preserve">Other relevant design option (stakeholder input)
</v>
      </c>
    </row>
    <row r="8" spans="2:12" ht="23.5">
      <c r="B8" s="6"/>
      <c r="C8" s="585" t="str">
        <f>F19</f>
        <v>Exhaust heat recovery (regenerator)</v>
      </c>
      <c r="D8" s="569" t="s">
        <v>647</v>
      </c>
      <c r="E8" s="632"/>
      <c r="F8" s="635" t="s">
        <v>412</v>
      </c>
      <c r="G8" s="635"/>
      <c r="H8" s="635"/>
      <c r="I8" s="635"/>
      <c r="J8" s="635"/>
      <c r="K8" s="635"/>
      <c r="L8" s="636"/>
    </row>
    <row r="9" spans="2:12" ht="23.5">
      <c r="B9" s="6"/>
      <c r="C9" s="585" t="str">
        <f>G19</f>
        <v>Exhaust air heat pump</v>
      </c>
      <c r="D9" s="569" t="s">
        <v>648</v>
      </c>
      <c r="E9" s="633"/>
      <c r="F9" s="612"/>
      <c r="G9" s="586" t="s">
        <v>412</v>
      </c>
      <c r="H9" s="586"/>
      <c r="I9" s="586"/>
      <c r="J9" s="586"/>
      <c r="K9" s="586"/>
      <c r="L9" s="590"/>
    </row>
    <row r="10" spans="2:12" ht="23.5">
      <c r="B10" s="6"/>
      <c r="C10" s="585" t="str">
        <f>H19</f>
        <v>Automatic programme for load and soil recognition</v>
      </c>
      <c r="D10" s="569" t="s">
        <v>649</v>
      </c>
      <c r="E10" s="633"/>
      <c r="F10" s="612"/>
      <c r="G10" s="612"/>
      <c r="H10" s="586" t="s">
        <v>412</v>
      </c>
      <c r="I10" s="586"/>
      <c r="J10" s="586"/>
      <c r="K10" s="586"/>
      <c r="L10" s="590"/>
    </row>
    <row r="11" spans="2:12" ht="23.5">
      <c r="B11" s="6"/>
      <c r="C11" s="585" t="str">
        <f>I19</f>
        <v xml:space="preserve">Improved thermal insulation (double-walled design) </v>
      </c>
      <c r="D11" s="569" t="s">
        <v>650</v>
      </c>
      <c r="E11" s="633"/>
      <c r="F11" s="612"/>
      <c r="G11" s="612"/>
      <c r="H11" s="612"/>
      <c r="I11" s="586" t="s">
        <v>412</v>
      </c>
      <c r="J11" s="586"/>
      <c r="K11" s="586"/>
      <c r="L11" s="590"/>
    </row>
    <row r="12" spans="2:12" ht="23.5">
      <c r="B12" s="6"/>
      <c r="C12" s="585" t="str">
        <f>J19</f>
        <v>Further substitution  of metals by polymers</v>
      </c>
      <c r="D12" s="569" t="s">
        <v>651</v>
      </c>
      <c r="E12" s="633"/>
      <c r="F12" s="612"/>
      <c r="G12" s="612"/>
      <c r="H12" s="612"/>
      <c r="I12" s="612"/>
      <c r="J12" s="586" t="s">
        <v>412</v>
      </c>
      <c r="K12" s="586"/>
      <c r="L12" s="590"/>
    </row>
    <row r="13" spans="2:12" ht="23.5">
      <c r="B13" s="6"/>
      <c r="C13" s="585" t="str">
        <f>K19</f>
        <v>Modular design and reuse of electronics</v>
      </c>
      <c r="D13" s="569" t="s">
        <v>652</v>
      </c>
      <c r="E13" s="633"/>
      <c r="F13" s="612"/>
      <c r="G13" s="612"/>
      <c r="H13" s="612"/>
      <c r="I13" s="612"/>
      <c r="J13" s="612"/>
      <c r="K13" s="586" t="s">
        <v>412</v>
      </c>
      <c r="L13" s="590"/>
    </row>
    <row r="14" spans="2:12" ht="24" thickBot="1">
      <c r="B14" s="6"/>
      <c r="C14" s="585" t="str">
        <f>L19</f>
        <v xml:space="preserve">Other relevant design option (stakeholder input)
</v>
      </c>
      <c r="D14" s="569" t="s">
        <v>682</v>
      </c>
      <c r="E14" s="634"/>
      <c r="F14" s="613"/>
      <c r="G14" s="613"/>
      <c r="H14" s="613"/>
      <c r="I14" s="613"/>
      <c r="J14" s="613"/>
      <c r="K14" s="613"/>
      <c r="L14" s="591"/>
    </row>
    <row r="15" spans="2:12" ht="24" thickBot="1">
      <c r="B15" s="6"/>
      <c r="C15"/>
      <c r="D15" s="592" t="s">
        <v>661</v>
      </c>
      <c r="E15" s="678"/>
      <c r="F15" s="679"/>
      <c r="G15" s="679"/>
      <c r="H15" s="679"/>
      <c r="I15" s="679"/>
      <c r="J15" s="679"/>
      <c r="K15" s="679"/>
      <c r="L15" s="680"/>
    </row>
    <row r="16" spans="2:12">
      <c r="C16"/>
    </row>
    <row r="17" spans="2:13">
      <c r="C17"/>
    </row>
    <row r="18" spans="2:13" s="554" customFormat="1" ht="28">
      <c r="B18" s="54" t="s">
        <v>630</v>
      </c>
      <c r="C18" s="54"/>
      <c r="D18" s="54"/>
      <c r="E18" s="53"/>
      <c r="F18" s="584" t="s">
        <v>640</v>
      </c>
      <c r="G18" s="584" t="s">
        <v>641</v>
      </c>
      <c r="H18" s="584" t="s">
        <v>642</v>
      </c>
      <c r="I18" s="584" t="s">
        <v>643</v>
      </c>
      <c r="J18" s="584" t="s">
        <v>644</v>
      </c>
      <c r="K18" s="584" t="s">
        <v>645</v>
      </c>
      <c r="L18" s="584" t="s">
        <v>684</v>
      </c>
      <c r="M18" s="594" t="s">
        <v>663</v>
      </c>
    </row>
    <row r="19" spans="2:13" s="14" customFormat="1" ht="56.5" thickBot="1">
      <c r="B19" s="682" t="s">
        <v>678</v>
      </c>
      <c r="C19" s="682"/>
      <c r="D19" s="682"/>
      <c r="E19" s="683"/>
      <c r="F19" s="597" t="str">
        <f>'Design options'!B3</f>
        <v>Exhaust heat recovery (regenerator)</v>
      </c>
      <c r="G19" s="597" t="str">
        <f>'Design options'!B4</f>
        <v>Exhaust air heat pump</v>
      </c>
      <c r="H19" s="597" t="str">
        <f>'Design options'!B5</f>
        <v>Automatic programme for load and soil recognition</v>
      </c>
      <c r="I19" s="597" t="str">
        <f>'Design options'!B6</f>
        <v xml:space="preserve">Improved thermal insulation (double-walled design) </v>
      </c>
      <c r="J19" s="597" t="str">
        <f>'Design options'!B7</f>
        <v>Further substitution  of metals by polymers</v>
      </c>
      <c r="K19" s="597" t="str">
        <f>'Design options'!B8</f>
        <v>Modular design and reuse of electronics</v>
      </c>
      <c r="L19" s="622" t="str">
        <f>'Design options'!B9</f>
        <v xml:space="preserve">Other relevant design option (stakeholder input)
</v>
      </c>
    </row>
    <row r="20" spans="2:13" customFormat="1" ht="28.5" thickBot="1">
      <c r="B20" s="57" t="s">
        <v>304</v>
      </c>
      <c r="C20" s="57" t="s">
        <v>305</v>
      </c>
      <c r="D20" s="57" t="s">
        <v>7</v>
      </c>
      <c r="E20" s="570" t="s">
        <v>503</v>
      </c>
      <c r="F20" s="578" t="s">
        <v>662</v>
      </c>
      <c r="G20" s="578" t="s">
        <v>662</v>
      </c>
      <c r="H20" s="578" t="s">
        <v>662</v>
      </c>
      <c r="I20" s="578" t="s">
        <v>662</v>
      </c>
      <c r="J20" s="578" t="s">
        <v>662</v>
      </c>
      <c r="K20" s="58" t="s">
        <v>662</v>
      </c>
      <c r="L20" s="58" t="s">
        <v>662</v>
      </c>
      <c r="M20" s="58" t="s">
        <v>662</v>
      </c>
    </row>
    <row r="21" spans="2:13" customFormat="1">
      <c r="B21" s="31" t="str">
        <f>'Input BoM- Manufacturing'!B7</f>
        <v>Stainless Steel</v>
      </c>
      <c r="C21" s="61">
        <f>'Input BoM- Manufacturing'!C7</f>
        <v>18.5</v>
      </c>
      <c r="D21" s="556" t="str">
        <f>'Input BoM- Manufacturing'!D7</f>
        <v>kg</v>
      </c>
      <c r="E21" s="571">
        <v>1</v>
      </c>
      <c r="F21" s="627"/>
      <c r="G21" s="627"/>
      <c r="H21" s="627"/>
      <c r="I21" s="627"/>
      <c r="J21" s="627"/>
      <c r="K21" s="627"/>
      <c r="L21" s="627"/>
      <c r="M21" s="628"/>
    </row>
    <row r="22" spans="2:13" customFormat="1">
      <c r="B22" s="31" t="str">
        <f>'Input BoM- Manufacturing'!B8</f>
        <v>Steel Sheet galvanized</v>
      </c>
      <c r="C22" s="61">
        <f>'Input BoM- Manufacturing'!C8</f>
        <v>18.5</v>
      </c>
      <c r="D22" s="556" t="str">
        <f>'Input BoM- Manufacturing'!D8</f>
        <v>kg</v>
      </c>
      <c r="E22" s="572">
        <v>1</v>
      </c>
      <c r="F22" s="614"/>
      <c r="G22" s="614"/>
      <c r="H22" s="614"/>
      <c r="I22" s="614"/>
      <c r="J22" s="614"/>
      <c r="K22" s="614"/>
      <c r="L22" s="614"/>
      <c r="M22" s="624"/>
    </row>
    <row r="23" spans="2:13" customFormat="1">
      <c r="B23" s="31" t="str">
        <f>'Input BoM- Manufacturing'!B9</f>
        <v>Polypropylen (PP)</v>
      </c>
      <c r="C23" s="61">
        <f>'Input BoM- Manufacturing'!C9</f>
        <v>10.21128644022466</v>
      </c>
      <c r="D23" s="556" t="str">
        <f>'Input BoM- Manufacturing'!D9</f>
        <v>kg</v>
      </c>
      <c r="E23" s="572">
        <v>1</v>
      </c>
      <c r="F23" s="614"/>
      <c r="G23" s="614"/>
      <c r="H23" s="614"/>
      <c r="I23" s="614"/>
      <c r="J23" s="614"/>
      <c r="K23" s="614"/>
      <c r="L23" s="614"/>
      <c r="M23" s="624"/>
    </row>
    <row r="24" spans="2:13" customFormat="1">
      <c r="B24" s="31" t="str">
        <f>'Input BoM- Manufacturing'!B10</f>
        <v>Polyamid (PA)</v>
      </c>
      <c r="C24" s="61">
        <f>'Input BoM- Manufacturing'!C10</f>
        <v>0.81813319069269852</v>
      </c>
      <c r="D24" s="556" t="str">
        <f>'Input BoM- Manufacturing'!D10</f>
        <v>kg</v>
      </c>
      <c r="E24" s="572">
        <v>1</v>
      </c>
      <c r="F24" s="614"/>
      <c r="G24" s="614"/>
      <c r="H24" s="614"/>
      <c r="I24" s="614"/>
      <c r="J24" s="614"/>
      <c r="K24" s="614"/>
      <c r="L24" s="614"/>
      <c r="M24" s="624"/>
    </row>
    <row r="25" spans="2:13" customFormat="1">
      <c r="B25" s="31" t="str">
        <f>'Input BoM- Manufacturing'!B11</f>
        <v>Polymethylmetacrylate (PMMA)</v>
      </c>
      <c r="C25" s="61">
        <f>'Input BoM- Manufacturing'!C11</f>
        <v>1.2302754747258626E-2</v>
      </c>
      <c r="D25" s="556" t="str">
        <f>'Input BoM- Manufacturing'!D11</f>
        <v>kg</v>
      </c>
      <c r="E25" s="572">
        <v>1</v>
      </c>
      <c r="F25" s="614"/>
      <c r="G25" s="614"/>
      <c r="H25" s="614"/>
      <c r="I25" s="614"/>
      <c r="J25" s="614"/>
      <c r="K25" s="614"/>
      <c r="L25" s="614"/>
      <c r="M25" s="624"/>
    </row>
    <row r="26" spans="2:13" customFormat="1">
      <c r="B26" s="31" t="str">
        <f>'Input BoM- Manufacturing'!B12</f>
        <v>Acrylonitrile Butadiene Styrene (ABS)</v>
      </c>
      <c r="C26" s="61">
        <f>'Input BoM- Manufacturing'!C12</f>
        <v>1.5398948025318713</v>
      </c>
      <c r="D26" s="556" t="str">
        <f>'Input BoM- Manufacturing'!D12</f>
        <v>kg</v>
      </c>
      <c r="E26" s="572">
        <v>1</v>
      </c>
      <c r="F26" s="614"/>
      <c r="G26" s="614"/>
      <c r="H26" s="614"/>
      <c r="I26" s="614"/>
      <c r="J26" s="614"/>
      <c r="K26" s="614"/>
      <c r="L26" s="614"/>
      <c r="M26" s="624"/>
    </row>
    <row r="27" spans="2:13" customFormat="1">
      <c r="B27" s="31" t="str">
        <f>'Input BoM- Manufacturing'!B13</f>
        <v>Polystyrene (PS)</v>
      </c>
      <c r="C27" s="61">
        <f>'Input BoM- Manufacturing'!C13</f>
        <v>1.0498350717660694</v>
      </c>
      <c r="D27" s="556" t="str">
        <f>'Input BoM- Manufacturing'!D13</f>
        <v>kg</v>
      </c>
      <c r="E27" s="572">
        <v>1</v>
      </c>
      <c r="F27" s="614"/>
      <c r="G27" s="614"/>
      <c r="H27" s="614"/>
      <c r="I27" s="614"/>
      <c r="J27" s="614"/>
      <c r="K27" s="614"/>
      <c r="L27" s="614"/>
      <c r="M27" s="624"/>
    </row>
    <row r="28" spans="2:13" customFormat="1">
      <c r="B28" s="31" t="str">
        <f>'Input BoM- Manufacturing'!B14</f>
        <v>Styropor expandable polystyrene (EPS)</v>
      </c>
      <c r="C28" s="61">
        <f>'Input BoM- Manufacturing'!C14</f>
        <v>8.2018364981724171E-2</v>
      </c>
      <c r="D28" s="556" t="str">
        <f>'Input BoM- Manufacturing'!D14</f>
        <v>kg</v>
      </c>
      <c r="E28" s="572">
        <v>1</v>
      </c>
      <c r="F28" s="614"/>
      <c r="G28" s="614"/>
      <c r="H28" s="614"/>
      <c r="I28" s="614"/>
      <c r="J28" s="614"/>
      <c r="K28" s="614"/>
      <c r="L28" s="614"/>
      <c r="M28" s="624"/>
    </row>
    <row r="29" spans="2:13" customFormat="1">
      <c r="B29" s="31" t="str">
        <f>'Input BoM- Manufacturing'!B15</f>
        <v>Polybutylene Terephthalate (PBT)</v>
      </c>
      <c r="C29" s="61">
        <f>'Input BoM- Manufacturing'!C15</f>
        <v>7.1766069359008644E-2</v>
      </c>
      <c r="D29" s="556" t="str">
        <f>'Input BoM- Manufacturing'!D15</f>
        <v>kg</v>
      </c>
      <c r="E29" s="572">
        <v>1</v>
      </c>
      <c r="F29" s="614"/>
      <c r="G29" s="614"/>
      <c r="H29" s="614"/>
      <c r="I29" s="614"/>
      <c r="J29" s="614"/>
      <c r="K29" s="614"/>
      <c r="L29" s="614"/>
      <c r="M29" s="624"/>
    </row>
    <row r="30" spans="2:13" customFormat="1">
      <c r="B30" s="31" t="str">
        <f>'Input BoM- Manufacturing'!B16</f>
        <v>Polyvinylchlorid (PVC)</v>
      </c>
      <c r="C30" s="61">
        <f>'Input BoM- Manufacturing'!C16</f>
        <v>0.82633502719087093</v>
      </c>
      <c r="D30" s="556" t="str">
        <f>'Input BoM- Manufacturing'!D16</f>
        <v>kg</v>
      </c>
      <c r="E30" s="572">
        <v>1</v>
      </c>
      <c r="F30" s="614"/>
      <c r="G30" s="614"/>
      <c r="H30" s="614"/>
      <c r="I30" s="614"/>
      <c r="J30" s="614"/>
      <c r="K30" s="614"/>
      <c r="L30" s="614"/>
      <c r="M30" s="624"/>
    </row>
    <row r="31" spans="2:13" customFormat="1">
      <c r="B31" s="31" t="str">
        <f>'Input BoM- Manufacturing'!B17</f>
        <v>EPDM-rubber</v>
      </c>
      <c r="C31" s="61">
        <f>'Input BoM- Manufacturing'!C17</f>
        <v>1.0744405812605866</v>
      </c>
      <c r="D31" s="556" t="str">
        <f>'Input BoM- Manufacturing'!D17</f>
        <v>kg</v>
      </c>
      <c r="E31" s="572">
        <v>1</v>
      </c>
      <c r="F31" s="614"/>
      <c r="G31" s="614"/>
      <c r="H31" s="614"/>
      <c r="I31" s="614"/>
      <c r="J31" s="614"/>
      <c r="K31" s="614"/>
      <c r="L31" s="614"/>
      <c r="M31" s="624"/>
    </row>
    <row r="32" spans="2:13" customFormat="1">
      <c r="B32" s="31" t="str">
        <f>'Input BoM- Manufacturing'!B18</f>
        <v>POM</v>
      </c>
      <c r="C32" s="61">
        <f>'Input BoM- Manufacturing'!C18</f>
        <v>0.47160559864491397</v>
      </c>
      <c r="D32" s="556" t="str">
        <f>'Input BoM- Manufacturing'!D18</f>
        <v>kg</v>
      </c>
      <c r="E32" s="572">
        <v>1</v>
      </c>
      <c r="F32" s="614"/>
      <c r="G32" s="614"/>
      <c r="H32" s="614"/>
      <c r="I32" s="614"/>
      <c r="J32" s="614"/>
      <c r="K32" s="614"/>
      <c r="L32" s="614"/>
      <c r="M32" s="624"/>
    </row>
    <row r="33" spans="2:16" customFormat="1">
      <c r="B33" s="31" t="str">
        <f>'Input BoM- Manufacturing'!B19</f>
        <v>PE</v>
      </c>
      <c r="C33" s="61">
        <f>'Input BoM- Manufacturing'!C19</f>
        <v>0.38343585628956051</v>
      </c>
      <c r="D33" s="556" t="str">
        <f>'Input BoM- Manufacturing'!D19</f>
        <v>kg</v>
      </c>
      <c r="E33" s="572">
        <v>1</v>
      </c>
      <c r="F33" s="614"/>
      <c r="G33" s="614"/>
      <c r="H33" s="614"/>
      <c r="I33" s="614"/>
      <c r="J33" s="614"/>
      <c r="K33" s="614"/>
      <c r="L33" s="614"/>
      <c r="M33" s="624"/>
    </row>
    <row r="34" spans="2:16" customFormat="1">
      <c r="B34" s="31" t="str">
        <f>'Input BoM- Manufacturing'!B20</f>
        <v>Plastics others</v>
      </c>
      <c r="C34" s="61">
        <f>'Input BoM- Manufacturing'!C20</f>
        <v>0.54952304537755192</v>
      </c>
      <c r="D34" s="556" t="str">
        <f>'Input BoM- Manufacturing'!D20</f>
        <v>kg</v>
      </c>
      <c r="E34" s="572">
        <v>1</v>
      </c>
      <c r="F34" s="614"/>
      <c r="G34" s="614"/>
      <c r="H34" s="614"/>
      <c r="I34" s="614"/>
      <c r="J34" s="614"/>
      <c r="K34" s="614"/>
      <c r="L34" s="614"/>
      <c r="M34" s="624"/>
    </row>
    <row r="35" spans="2:16" customFormat="1">
      <c r="B35" s="31" t="str">
        <f>'Input BoM- Manufacturing'!B21</f>
        <v xml:space="preserve">Aluminium </v>
      </c>
      <c r="C35" s="61">
        <f>'Input BoM- Manufacturing'!C21</f>
        <v>0.55977534100026749</v>
      </c>
      <c r="D35" s="556" t="str">
        <f>'Input BoM- Manufacturing'!D21</f>
        <v>kg</v>
      </c>
      <c r="E35" s="572">
        <v>1</v>
      </c>
      <c r="F35" s="614"/>
      <c r="G35" s="614"/>
      <c r="H35" s="614"/>
      <c r="I35" s="614"/>
      <c r="J35" s="614"/>
      <c r="K35" s="614"/>
      <c r="L35" s="614"/>
      <c r="M35" s="624"/>
    </row>
    <row r="36" spans="2:16" customFormat="1">
      <c r="B36" s="31" t="str">
        <f>'Input BoM- Manufacturing'!B22</f>
        <v>Cu wire</v>
      </c>
      <c r="C36" s="61">
        <f>'Input BoM- Manufacturing'!C22</f>
        <v>2.0627618792903628</v>
      </c>
      <c r="D36" s="556" t="str">
        <f>'Input BoM- Manufacturing'!D22</f>
        <v>kg</v>
      </c>
      <c r="E36" s="572">
        <v>1</v>
      </c>
      <c r="F36" s="614"/>
      <c r="G36" s="614"/>
      <c r="H36" s="614"/>
      <c r="I36" s="614"/>
      <c r="J36" s="614"/>
      <c r="K36" s="614"/>
      <c r="L36" s="614"/>
      <c r="M36" s="624"/>
    </row>
    <row r="37" spans="2:16" customFormat="1">
      <c r="B37" s="31" t="str">
        <f>'Input BoM- Manufacturing'!B23</f>
        <v>CuZn38 cast</v>
      </c>
      <c r="C37" s="61">
        <f>'Input BoM- Manufacturing'!C23</f>
        <v>4.71605598644914E-2</v>
      </c>
      <c r="D37" s="556" t="str">
        <f>'Input BoM- Manufacturing'!D23</f>
        <v>kg</v>
      </c>
      <c r="E37" s="572">
        <v>1</v>
      </c>
      <c r="F37" s="614"/>
      <c r="G37" s="614"/>
      <c r="H37" s="614"/>
      <c r="I37" s="614"/>
      <c r="J37" s="614"/>
      <c r="K37" s="614"/>
      <c r="L37" s="614"/>
      <c r="M37" s="624"/>
    </row>
    <row r="38" spans="2:16" customFormat="1">
      <c r="B38" s="31" t="str">
        <f>'Input BoM- Manufacturing'!B24</f>
        <v>Chrom</v>
      </c>
      <c r="C38" s="61">
        <f>'Input BoM- Manufacturing'!C24</f>
        <v>0.14558259784256036</v>
      </c>
      <c r="D38" s="556" t="str">
        <f>'Input BoM- Manufacturing'!D24</f>
        <v>kg</v>
      </c>
      <c r="E38" s="572">
        <v>1</v>
      </c>
      <c r="F38" s="614"/>
      <c r="G38" s="614"/>
      <c r="H38" s="614"/>
      <c r="I38" s="614"/>
      <c r="J38" s="614"/>
      <c r="K38" s="614"/>
      <c r="L38" s="614"/>
      <c r="M38" s="624"/>
    </row>
    <row r="39" spans="2:16" customFormat="1">
      <c r="B39" s="31" t="str">
        <f>'Input BoM- Manufacturing'!B25</f>
        <v>Bitumen</v>
      </c>
      <c r="C39" s="61">
        <f>'Input BoM- Manufacturing'!C25</f>
        <v>5</v>
      </c>
      <c r="D39" s="556" t="str">
        <f>'Input BoM- Manufacturing'!D25</f>
        <v>kg</v>
      </c>
      <c r="E39" s="572">
        <v>1</v>
      </c>
      <c r="F39" s="614"/>
      <c r="G39" s="614"/>
      <c r="H39" s="614"/>
      <c r="I39" s="614"/>
      <c r="J39" s="614"/>
      <c r="K39" s="614"/>
      <c r="L39" s="614"/>
      <c r="M39" s="624"/>
    </row>
    <row r="40" spans="2:16" s="554" customFormat="1">
      <c r="B40" s="552" t="str">
        <f>'Input BoM- Manufacturing'!B26</f>
        <v>Cotton</v>
      </c>
      <c r="C40" s="553">
        <f>'Input BoM- Manufacturing'!C26</f>
        <v>0.92680752429348312</v>
      </c>
      <c r="D40" s="557" t="str">
        <f>'Input BoM- Manufacturing'!D26</f>
        <v>kg</v>
      </c>
      <c r="E40" s="572">
        <v>1</v>
      </c>
      <c r="F40" s="614"/>
      <c r="G40" s="614"/>
      <c r="H40" s="614"/>
      <c r="I40" s="614"/>
      <c r="J40" s="614"/>
      <c r="K40" s="614"/>
      <c r="L40" s="614"/>
      <c r="M40" s="624"/>
    </row>
    <row r="41" spans="2:16" customFormat="1">
      <c r="B41" s="31" t="str">
        <f>'Input BoM- Manufacturing'!B27</f>
        <v>Electronics (control)</v>
      </c>
      <c r="C41" s="61">
        <f>'Input BoM- Manufacturing'!C27/3.08</f>
        <v>0.70368029046820157</v>
      </c>
      <c r="D41" s="558" t="s">
        <v>493</v>
      </c>
      <c r="E41" s="572">
        <v>1</v>
      </c>
      <c r="F41" s="614"/>
      <c r="G41" s="614"/>
      <c r="H41" s="614"/>
      <c r="I41" s="614"/>
      <c r="J41" s="614"/>
      <c r="K41" s="614"/>
      <c r="L41" s="614"/>
      <c r="M41" s="624"/>
    </row>
    <row r="42" spans="2:16" customFormat="1">
      <c r="B42" s="31">
        <f>'Input BoM- Manufacturing'!B28</f>
        <v>0</v>
      </c>
      <c r="C42" s="61">
        <f>'Input BoM- Manufacturing'!C28</f>
        <v>0</v>
      </c>
      <c r="D42" s="556">
        <f>'Input BoM- Manufacturing'!D28</f>
        <v>0</v>
      </c>
      <c r="E42" s="572">
        <v>1</v>
      </c>
      <c r="F42" s="614"/>
      <c r="G42" s="614"/>
      <c r="H42" s="614"/>
      <c r="I42" s="614"/>
      <c r="J42" s="614"/>
      <c r="K42" s="614"/>
      <c r="L42" s="614"/>
      <c r="M42" s="624"/>
    </row>
    <row r="43" spans="2:16" customFormat="1">
      <c r="B43" s="31">
        <f>'Input BoM- Manufacturing'!B29</f>
        <v>0</v>
      </c>
      <c r="C43" s="61">
        <f>'Input BoM- Manufacturing'!C29</f>
        <v>0</v>
      </c>
      <c r="D43" s="556">
        <f>'Input BoM- Manufacturing'!D29</f>
        <v>0</v>
      </c>
      <c r="E43" s="572">
        <v>1</v>
      </c>
      <c r="F43" s="614"/>
      <c r="G43" s="614"/>
      <c r="H43" s="614"/>
      <c r="I43" s="614"/>
      <c r="J43" s="614"/>
      <c r="K43" s="614"/>
      <c r="L43" s="614"/>
      <c r="M43" s="624"/>
    </row>
    <row r="44" spans="2:16" customFormat="1">
      <c r="B44" s="31">
        <f>'Input BoM- Manufacturing'!B30</f>
        <v>0</v>
      </c>
      <c r="C44" s="61">
        <f>'Input BoM- Manufacturing'!C30</f>
        <v>0</v>
      </c>
      <c r="D44" s="556">
        <f>'Input BoM- Manufacturing'!D30</f>
        <v>0</v>
      </c>
      <c r="E44" s="572">
        <v>1</v>
      </c>
      <c r="F44" s="614"/>
      <c r="G44" s="614"/>
      <c r="H44" s="614"/>
      <c r="I44" s="614"/>
      <c r="J44" s="614"/>
      <c r="K44" s="614"/>
      <c r="L44" s="614"/>
      <c r="M44" s="624"/>
    </row>
    <row r="45" spans="2:16" customFormat="1" ht="14.5" thickBot="1">
      <c r="B45" s="68">
        <f>'Input BoM- Manufacturing'!B31</f>
        <v>0</v>
      </c>
      <c r="C45" s="69">
        <f>'Input BoM- Manufacturing'!C31</f>
        <v>0</v>
      </c>
      <c r="D45" s="559">
        <f>'Input BoM- Manufacturing'!D31</f>
        <v>0</v>
      </c>
      <c r="E45" s="573">
        <v>1</v>
      </c>
      <c r="F45" s="629"/>
      <c r="G45" s="629"/>
      <c r="H45" s="629"/>
      <c r="I45" s="629"/>
      <c r="J45" s="629"/>
      <c r="K45" s="629"/>
      <c r="L45" s="629"/>
      <c r="M45" s="630"/>
    </row>
    <row r="46" spans="2:16" customFormat="1" ht="14.5" thickBot="1">
      <c r="B46" s="74" t="s">
        <v>353</v>
      </c>
      <c r="C46" s="75">
        <f>SUM(C21:C40)+(C41*3.08)</f>
        <v>65</v>
      </c>
      <c r="D46" s="211" t="s">
        <v>309</v>
      </c>
      <c r="E46" s="574">
        <v>1</v>
      </c>
      <c r="F46" s="574"/>
      <c r="G46" s="574"/>
      <c r="H46" s="574"/>
      <c r="I46" s="574"/>
      <c r="J46" s="574"/>
      <c r="K46" s="560"/>
      <c r="L46" s="560"/>
      <c r="M46" s="560"/>
    </row>
    <row r="47" spans="2:16" customFormat="1" ht="24" thickBot="1">
      <c r="B47" s="3"/>
      <c r="C47" s="6"/>
      <c r="E47" s="592" t="s">
        <v>661</v>
      </c>
      <c r="F47" s="678"/>
      <c r="G47" s="679"/>
      <c r="H47" s="679"/>
      <c r="I47" s="679"/>
      <c r="J47" s="679"/>
      <c r="K47" s="679"/>
      <c r="L47" s="680"/>
      <c r="M47" s="593"/>
    </row>
    <row r="48" spans="2:16" customFormat="1">
      <c r="B48" s="5"/>
      <c r="C48" s="7"/>
      <c r="D48" s="8"/>
      <c r="E48" s="8"/>
      <c r="F48" s="8"/>
      <c r="G48" s="580"/>
      <c r="H48" s="581"/>
      <c r="I48" s="114"/>
      <c r="J48" s="114"/>
      <c r="K48" s="581"/>
      <c r="L48" s="581"/>
      <c r="M48" s="5"/>
      <c r="N48" s="5"/>
      <c r="O48" s="5"/>
      <c r="P48" s="4"/>
    </row>
    <row r="49" spans="1:16" customFormat="1">
      <c r="B49" s="5"/>
      <c r="C49" s="7"/>
      <c r="D49" s="8"/>
      <c r="E49" s="8"/>
      <c r="F49" s="8"/>
      <c r="G49" s="580"/>
      <c r="H49" s="581"/>
      <c r="I49" s="114"/>
      <c r="J49" s="114"/>
      <c r="K49" s="581"/>
      <c r="L49" s="581"/>
      <c r="M49" s="5"/>
      <c r="N49" s="5"/>
      <c r="O49" s="5"/>
      <c r="P49" s="4"/>
    </row>
    <row r="50" spans="1:16" s="567" customFormat="1" ht="28">
      <c r="B50" s="54" t="s">
        <v>631</v>
      </c>
      <c r="C50" s="99"/>
      <c r="D50" s="54"/>
      <c r="E50" s="54"/>
      <c r="F50" s="584" t="s">
        <v>634</v>
      </c>
      <c r="G50" s="584" t="s">
        <v>635</v>
      </c>
      <c r="H50" s="584" t="s">
        <v>636</v>
      </c>
      <c r="I50" s="584" t="s">
        <v>637</v>
      </c>
      <c r="J50" s="584" t="s">
        <v>638</v>
      </c>
      <c r="K50" s="584" t="s">
        <v>639</v>
      </c>
      <c r="L50" s="584" t="s">
        <v>684</v>
      </c>
      <c r="M50" s="594" t="s">
        <v>663</v>
      </c>
    </row>
    <row r="51" spans="1:16" s="147" customFormat="1" ht="56.5" thickBot="1">
      <c r="B51" s="682" t="s">
        <v>677</v>
      </c>
      <c r="C51" s="682"/>
      <c r="D51" s="682"/>
      <c r="E51" s="683"/>
      <c r="F51" s="595" t="str">
        <f>F19</f>
        <v>Exhaust heat recovery (regenerator)</v>
      </c>
      <c r="G51" s="595" t="str">
        <f t="shared" ref="G51:L51" si="1">G19</f>
        <v>Exhaust air heat pump</v>
      </c>
      <c r="H51" s="595" t="str">
        <f t="shared" si="1"/>
        <v>Automatic programme for load and soil recognition</v>
      </c>
      <c r="I51" s="595" t="str">
        <f t="shared" si="1"/>
        <v xml:space="preserve">Improved thermal insulation (double-walled design) </v>
      </c>
      <c r="J51" s="595" t="str">
        <f t="shared" si="1"/>
        <v>Further substitution  of metals by polymers</v>
      </c>
      <c r="K51" s="595" t="str">
        <f t="shared" si="1"/>
        <v>Modular design and reuse of electronics</v>
      </c>
      <c r="L51" s="595" t="str">
        <f t="shared" si="1"/>
        <v xml:space="preserve">Other relevant design option (stakeholder input)
</v>
      </c>
      <c r="M51" s="596"/>
    </row>
    <row r="52" spans="1:16" s="114" customFormat="1" ht="28.5" thickBot="1">
      <c r="B52" s="555" t="s">
        <v>667</v>
      </c>
      <c r="C52" s="18" t="s">
        <v>305</v>
      </c>
      <c r="D52" s="18" t="s">
        <v>7</v>
      </c>
      <c r="E52" s="575" t="s">
        <v>503</v>
      </c>
      <c r="F52" s="625" t="s">
        <v>662</v>
      </c>
      <c r="G52" s="625" t="s">
        <v>662</v>
      </c>
      <c r="H52" s="625" t="s">
        <v>662</v>
      </c>
      <c r="I52" s="625" t="s">
        <v>662</v>
      </c>
      <c r="J52" s="625" t="s">
        <v>662</v>
      </c>
      <c r="K52" s="626" t="s">
        <v>662</v>
      </c>
      <c r="L52" s="626" t="s">
        <v>662</v>
      </c>
      <c r="M52" s="626" t="s">
        <v>662</v>
      </c>
    </row>
    <row r="53" spans="1:16" s="114" customFormat="1">
      <c r="B53" s="30"/>
      <c r="C53" s="565"/>
      <c r="D53" s="566"/>
      <c r="E53" s="571"/>
      <c r="F53" s="639"/>
      <c r="G53" s="640"/>
      <c r="H53" s="640"/>
      <c r="I53" s="640"/>
      <c r="J53" s="640"/>
      <c r="K53" s="640"/>
      <c r="L53" s="640"/>
      <c r="M53" s="637"/>
    </row>
    <row r="54" spans="1:16" ht="28">
      <c r="B54" s="30" t="s">
        <v>626</v>
      </c>
      <c r="C54" s="600">
        <v>2.86</v>
      </c>
      <c r="D54" s="566" t="s">
        <v>57</v>
      </c>
      <c r="E54" s="571">
        <v>1</v>
      </c>
      <c r="F54" s="611"/>
      <c r="G54" s="612"/>
      <c r="H54" s="612"/>
      <c r="I54" s="612"/>
      <c r="J54" s="612"/>
      <c r="K54" s="612"/>
      <c r="L54" s="612"/>
      <c r="M54" s="624"/>
    </row>
    <row r="55" spans="1:16" s="4" customFormat="1" ht="28">
      <c r="B55" s="458" t="s">
        <v>627</v>
      </c>
      <c r="C55" s="604">
        <v>84</v>
      </c>
      <c r="D55" s="564" t="s">
        <v>59</v>
      </c>
      <c r="E55" s="572">
        <v>1</v>
      </c>
      <c r="F55" s="641"/>
      <c r="G55" s="615"/>
      <c r="H55" s="615"/>
      <c r="I55" s="615"/>
      <c r="J55" s="615"/>
      <c r="K55" s="615"/>
      <c r="L55" s="615"/>
      <c r="M55" s="624"/>
    </row>
    <row r="56" spans="1:16" s="4" customFormat="1" ht="28">
      <c r="B56" s="458" t="s">
        <v>629</v>
      </c>
      <c r="C56" s="605">
        <v>59</v>
      </c>
      <c r="D56" s="564" t="s">
        <v>60</v>
      </c>
      <c r="E56" s="572">
        <v>1</v>
      </c>
      <c r="F56" s="641"/>
      <c r="G56" s="615"/>
      <c r="H56" s="615"/>
      <c r="I56" s="615"/>
      <c r="J56" s="615"/>
      <c r="K56" s="615"/>
      <c r="L56" s="615"/>
      <c r="M56" s="624"/>
    </row>
    <row r="57" spans="1:16" s="4" customFormat="1" ht="42.5" thickBot="1">
      <c r="B57" s="458" t="s">
        <v>628</v>
      </c>
      <c r="C57" s="563" t="str">
        <f>'Input use - economics'!C24</f>
        <v xml:space="preserve">integrated detergent and rinse aid </v>
      </c>
      <c r="D57" s="564" t="s">
        <v>60</v>
      </c>
      <c r="E57" s="572">
        <v>1</v>
      </c>
      <c r="F57" s="642"/>
      <c r="G57" s="643"/>
      <c r="H57" s="643"/>
      <c r="I57" s="643"/>
      <c r="J57" s="643"/>
      <c r="K57" s="643"/>
      <c r="L57" s="643"/>
      <c r="M57" s="638"/>
    </row>
    <row r="58" spans="1:16" customFormat="1" ht="89.5" thickBot="1">
      <c r="B58" s="601" t="s">
        <v>668</v>
      </c>
      <c r="C58" s="6"/>
      <c r="E58" s="592" t="s">
        <v>661</v>
      </c>
      <c r="F58" s="678"/>
      <c r="G58" s="679"/>
      <c r="H58" s="679"/>
      <c r="I58" s="679"/>
      <c r="J58" s="679"/>
      <c r="K58" s="679"/>
      <c r="L58" s="680"/>
      <c r="M58" s="593"/>
    </row>
    <row r="61" spans="1:16" s="567" customFormat="1" ht="28">
      <c r="A61" s="568"/>
      <c r="B61" s="576" t="s">
        <v>632</v>
      </c>
      <c r="C61" s="577"/>
      <c r="D61" s="576"/>
      <c r="E61" s="577"/>
      <c r="F61" s="584" t="s">
        <v>634</v>
      </c>
      <c r="G61" s="584" t="s">
        <v>635</v>
      </c>
      <c r="H61" s="584" t="s">
        <v>636</v>
      </c>
      <c r="I61" s="584" t="s">
        <v>637</v>
      </c>
      <c r="J61" s="584" t="s">
        <v>638</v>
      </c>
      <c r="K61" s="584" t="s">
        <v>639</v>
      </c>
      <c r="L61" s="584" t="s">
        <v>684</v>
      </c>
      <c r="M61" s="594" t="s">
        <v>663</v>
      </c>
    </row>
    <row r="62" spans="1:16" s="147" customFormat="1" ht="56.5" thickBot="1">
      <c r="B62" s="682" t="s">
        <v>679</v>
      </c>
      <c r="C62" s="682"/>
      <c r="D62" s="682"/>
      <c r="E62" s="683"/>
      <c r="F62" s="595" t="str">
        <f>F19</f>
        <v>Exhaust heat recovery (regenerator)</v>
      </c>
      <c r="G62" s="595" t="str">
        <f t="shared" ref="G62:L62" si="2">G19</f>
        <v>Exhaust air heat pump</v>
      </c>
      <c r="H62" s="595" t="str">
        <f t="shared" si="2"/>
        <v>Automatic programme for load and soil recognition</v>
      </c>
      <c r="I62" s="595" t="str">
        <f t="shared" si="2"/>
        <v xml:space="preserve">Improved thermal insulation (double-walled design) </v>
      </c>
      <c r="J62" s="595" t="str">
        <f t="shared" si="2"/>
        <v>Further substitution  of metals by polymers</v>
      </c>
      <c r="K62" s="595" t="str">
        <f t="shared" si="2"/>
        <v>Modular design and reuse of electronics</v>
      </c>
      <c r="L62" s="595" t="str">
        <f t="shared" si="2"/>
        <v xml:space="preserve">Other relevant design option (stakeholder input)
</v>
      </c>
      <c r="M62" s="596"/>
    </row>
    <row r="63" spans="1:16" ht="28.5" thickBot="1">
      <c r="B63" s="561" t="s">
        <v>573</v>
      </c>
      <c r="C63" s="562" t="s">
        <v>305</v>
      </c>
      <c r="D63" s="561" t="s">
        <v>7</v>
      </c>
      <c r="E63" s="575" t="s">
        <v>503</v>
      </c>
      <c r="F63" s="578" t="s">
        <v>662</v>
      </c>
      <c r="G63" s="578" t="s">
        <v>662</v>
      </c>
      <c r="H63" s="578" t="s">
        <v>662</v>
      </c>
      <c r="I63" s="578" t="s">
        <v>662</v>
      </c>
      <c r="J63" s="578" t="s">
        <v>662</v>
      </c>
      <c r="K63" s="58" t="s">
        <v>662</v>
      </c>
      <c r="L63" s="58" t="s">
        <v>662</v>
      </c>
      <c r="M63" s="58" t="s">
        <v>662</v>
      </c>
    </row>
    <row r="64" spans="1:16">
      <c r="A64" s="4"/>
      <c r="B64" s="47" t="s">
        <v>416</v>
      </c>
      <c r="C64" s="273">
        <f>'Input use - economics'!C36</f>
        <v>12</v>
      </c>
      <c r="D64" s="47" t="str">
        <f>'Input use - economics'!D36</f>
        <v>years</v>
      </c>
      <c r="E64" s="571">
        <v>1</v>
      </c>
      <c r="F64" s="612"/>
      <c r="G64" s="612"/>
      <c r="H64" s="612"/>
      <c r="I64" s="612"/>
      <c r="J64" s="612"/>
      <c r="K64" s="612"/>
      <c r="L64" s="623"/>
      <c r="M64" s="616"/>
    </row>
    <row r="65" spans="1:13" ht="14.5" thickBot="1">
      <c r="A65" s="4"/>
      <c r="B65" s="33" t="s">
        <v>422</v>
      </c>
      <c r="C65" s="452">
        <f>'Input use - economics'!C40</f>
        <v>3147.9633333333331</v>
      </c>
      <c r="D65" s="33" t="str">
        <f>'Input use - economics'!D40</f>
        <v>Euro/unit</v>
      </c>
      <c r="E65" s="571">
        <v>1</v>
      </c>
      <c r="F65" s="644"/>
      <c r="G65" s="644"/>
      <c r="H65" s="644"/>
      <c r="I65" s="644"/>
      <c r="J65" s="644"/>
      <c r="K65" s="644"/>
      <c r="L65" s="645"/>
      <c r="M65" s="617"/>
    </row>
    <row r="66" spans="1:13" customFormat="1" ht="24" thickBot="1">
      <c r="B66" s="3"/>
      <c r="C66" s="6"/>
      <c r="E66" s="592" t="s">
        <v>661</v>
      </c>
      <c r="F66" s="678"/>
      <c r="G66" s="679"/>
      <c r="H66" s="679"/>
      <c r="I66" s="679"/>
      <c r="J66" s="679"/>
      <c r="K66" s="679"/>
      <c r="L66" s="680"/>
      <c r="M66" s="593"/>
    </row>
    <row r="68" spans="1:13">
      <c r="C68"/>
      <c r="D68" s="461"/>
      <c r="E68" s="461"/>
      <c r="F68" s="582"/>
      <c r="G68" s="583"/>
    </row>
  </sheetData>
  <mergeCells count="8">
    <mergeCell ref="F66:L66"/>
    <mergeCell ref="B5:E5"/>
    <mergeCell ref="B19:E19"/>
    <mergeCell ref="B51:E51"/>
    <mergeCell ref="B62:E62"/>
    <mergeCell ref="F47:L47"/>
    <mergeCell ref="E15:L15"/>
    <mergeCell ref="F58:L58"/>
  </mergeCells>
  <phoneticPr fontId="15" type="noConversion"/>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23BBBD9-1969-492B-AE1C-E4200881246A}">
          <x14:formula1>
            <xm:f>Lists!$B$2:$B$3</xm:f>
          </x14:formula1>
          <xm:sqref>E8:E14</xm:sqref>
        </x14:dataValidation>
        <x14:dataValidation type="list" allowBlank="1" showInputMessage="1" showErrorMessage="1" xr:uid="{214E8E83-A8D0-497F-B26C-FFABD1F4D073}">
          <x14:formula1>
            <xm:f>Lists!$B$10:$B$12</xm:f>
          </x14:formula1>
          <xm:sqref>F9:F14 G10:G14 H11:H14 I12:I14 J13:J14 K14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25EC0-56FF-4A5C-AA47-066DF59054B4}">
  <sheetPr>
    <tabColor theme="5"/>
  </sheetPr>
  <dimension ref="A1:P68"/>
  <sheetViews>
    <sheetView zoomScale="90" zoomScaleNormal="90" workbookViewId="0">
      <selection activeCell="B2" sqref="B2"/>
    </sheetView>
  </sheetViews>
  <sheetFormatPr baseColWidth="10" defaultColWidth="8.75" defaultRowHeight="14"/>
  <cols>
    <col min="1" max="1" width="5" style="3" customWidth="1"/>
    <col min="2" max="2" width="38.33203125" style="3" customWidth="1"/>
    <col min="3" max="3" width="12.25" style="3" customWidth="1"/>
    <col min="4" max="4" width="9.75" style="3" customWidth="1"/>
    <col min="5" max="5" width="23.4140625" style="3" customWidth="1"/>
    <col min="6" max="12" width="20.6640625" style="579" customWidth="1"/>
    <col min="13" max="13" width="24.25" style="3" customWidth="1"/>
    <col min="14" max="14" width="18.75" style="3" customWidth="1"/>
    <col min="15" max="15" width="26.83203125" style="3" customWidth="1"/>
    <col min="16" max="16" width="102.83203125" style="3" customWidth="1"/>
    <col min="17" max="17" width="101.4140625" style="3" customWidth="1"/>
    <col min="18" max="16384" width="8.75" style="3"/>
  </cols>
  <sheetData>
    <row r="1" spans="2:12" ht="23.5">
      <c r="B1" s="6" t="s">
        <v>681</v>
      </c>
      <c r="C1"/>
    </row>
    <row r="2" spans="2:12" ht="18.5">
      <c r="B2" s="618" t="s">
        <v>674</v>
      </c>
      <c r="C2"/>
    </row>
    <row r="3" spans="2:12" ht="18.5">
      <c r="B3" s="618"/>
      <c r="C3"/>
    </row>
    <row r="4" spans="2:12" ht="21">
      <c r="B4" s="619" t="s">
        <v>675</v>
      </c>
      <c r="C4" s="54"/>
      <c r="D4" s="54"/>
      <c r="E4" s="53"/>
      <c r="F4" s="619"/>
    </row>
    <row r="5" spans="2:12" s="567" customFormat="1" ht="16">
      <c r="B5" s="684" t="s">
        <v>680</v>
      </c>
      <c r="C5" s="684"/>
      <c r="D5" s="684"/>
      <c r="E5" s="684"/>
      <c r="F5" s="620"/>
      <c r="G5" s="620"/>
      <c r="H5" s="620"/>
      <c r="I5" s="620"/>
      <c r="J5" s="620"/>
      <c r="K5" s="620"/>
      <c r="L5" s="620"/>
    </row>
    <row r="6" spans="2:12" ht="24" thickBot="1">
      <c r="B6" s="6"/>
      <c r="C6"/>
      <c r="F6" s="621" t="s">
        <v>646</v>
      </c>
      <c r="G6" s="621" t="s">
        <v>653</v>
      </c>
      <c r="H6" s="621" t="s">
        <v>654</v>
      </c>
      <c r="I6" s="621" t="s">
        <v>655</v>
      </c>
      <c r="J6" s="621" t="s">
        <v>656</v>
      </c>
      <c r="K6" s="621" t="s">
        <v>657</v>
      </c>
      <c r="L6" s="621" t="s">
        <v>683</v>
      </c>
    </row>
    <row r="7" spans="2:12" ht="59" thickBot="1">
      <c r="B7" s="6"/>
      <c r="C7"/>
      <c r="E7" s="631" t="s">
        <v>676</v>
      </c>
      <c r="F7" s="587" t="str">
        <f>F19</f>
        <v>Exhaust heat recovery (regenerator)</v>
      </c>
      <c r="G7" s="588" t="str">
        <f t="shared" ref="G7:L7" si="0">G19</f>
        <v>Exhaust air heat pump</v>
      </c>
      <c r="H7" s="588" t="str">
        <f t="shared" si="0"/>
        <v>Automatic programme for load and soil recognition</v>
      </c>
      <c r="I7" s="588" t="str">
        <f t="shared" si="0"/>
        <v xml:space="preserve">Improved thermal insulation (double-walled design) </v>
      </c>
      <c r="J7" s="588" t="str">
        <f t="shared" si="0"/>
        <v>Further substitution  of metals by polymers</v>
      </c>
      <c r="K7" s="588" t="str">
        <f t="shared" si="0"/>
        <v>Modular design and reuse of electronics</v>
      </c>
      <c r="L7" s="589" t="str">
        <f t="shared" si="0"/>
        <v xml:space="preserve">Other relevant design option (stakeholder input)
</v>
      </c>
    </row>
    <row r="8" spans="2:12" ht="23.5">
      <c r="B8" s="6"/>
      <c r="C8" s="585" t="str">
        <f>F19</f>
        <v>Exhaust heat recovery (regenerator)</v>
      </c>
      <c r="D8" s="569" t="s">
        <v>647</v>
      </c>
      <c r="E8" s="632"/>
      <c r="F8" s="635" t="s">
        <v>412</v>
      </c>
      <c r="G8" s="635"/>
      <c r="H8" s="635"/>
      <c r="I8" s="635"/>
      <c r="J8" s="635"/>
      <c r="K8" s="635"/>
      <c r="L8" s="636"/>
    </row>
    <row r="9" spans="2:12" ht="23.5">
      <c r="B9" s="6"/>
      <c r="C9" s="585" t="str">
        <f>G19</f>
        <v>Exhaust air heat pump</v>
      </c>
      <c r="D9" s="569" t="s">
        <v>648</v>
      </c>
      <c r="E9" s="633"/>
      <c r="F9" s="612"/>
      <c r="G9" s="586" t="s">
        <v>412</v>
      </c>
      <c r="H9" s="586"/>
      <c r="I9" s="586"/>
      <c r="J9" s="586"/>
      <c r="K9" s="586"/>
      <c r="L9" s="590"/>
    </row>
    <row r="10" spans="2:12" ht="23.5">
      <c r="B10" s="6"/>
      <c r="C10" s="585" t="str">
        <f>H19</f>
        <v>Automatic programme for load and soil recognition</v>
      </c>
      <c r="D10" s="569" t="s">
        <v>649</v>
      </c>
      <c r="E10" s="633"/>
      <c r="F10" s="612"/>
      <c r="G10" s="612"/>
      <c r="H10" s="586" t="s">
        <v>412</v>
      </c>
      <c r="I10" s="586"/>
      <c r="J10" s="586"/>
      <c r="K10" s="586"/>
      <c r="L10" s="590"/>
    </row>
    <row r="11" spans="2:12" ht="23.5">
      <c r="B11" s="6"/>
      <c r="C11" s="585" t="str">
        <f>I19</f>
        <v xml:space="preserve">Improved thermal insulation (double-walled design) </v>
      </c>
      <c r="D11" s="569" t="s">
        <v>650</v>
      </c>
      <c r="E11" s="633"/>
      <c r="F11" s="612"/>
      <c r="G11" s="612"/>
      <c r="H11" s="612"/>
      <c r="I11" s="586" t="s">
        <v>412</v>
      </c>
      <c r="J11" s="586"/>
      <c r="K11" s="586"/>
      <c r="L11" s="590"/>
    </row>
    <row r="12" spans="2:12" ht="23.5">
      <c r="B12" s="6"/>
      <c r="C12" s="585" t="str">
        <f>J19</f>
        <v>Further substitution  of metals by polymers</v>
      </c>
      <c r="D12" s="569" t="s">
        <v>651</v>
      </c>
      <c r="E12" s="633"/>
      <c r="F12" s="612"/>
      <c r="G12" s="612"/>
      <c r="H12" s="612"/>
      <c r="I12" s="612"/>
      <c r="J12" s="586" t="s">
        <v>412</v>
      </c>
      <c r="K12" s="586"/>
      <c r="L12" s="590"/>
    </row>
    <row r="13" spans="2:12" ht="23.5">
      <c r="B13" s="6"/>
      <c r="C13" s="585" t="str">
        <f>K19</f>
        <v>Modular design and reuse of electronics</v>
      </c>
      <c r="D13" s="569" t="s">
        <v>652</v>
      </c>
      <c r="E13" s="633"/>
      <c r="F13" s="612"/>
      <c r="G13" s="612"/>
      <c r="H13" s="612"/>
      <c r="I13" s="612"/>
      <c r="J13" s="612"/>
      <c r="K13" s="586" t="s">
        <v>412</v>
      </c>
      <c r="L13" s="590"/>
    </row>
    <row r="14" spans="2:12" ht="24" thickBot="1">
      <c r="B14" s="6"/>
      <c r="C14" s="585" t="str">
        <f>L19</f>
        <v xml:space="preserve">Other relevant design option (stakeholder input)
</v>
      </c>
      <c r="D14" s="569" t="s">
        <v>682</v>
      </c>
      <c r="E14" s="634"/>
      <c r="F14" s="613"/>
      <c r="G14" s="613"/>
      <c r="H14" s="613"/>
      <c r="I14" s="613"/>
      <c r="J14" s="613"/>
      <c r="K14" s="613"/>
      <c r="L14" s="591"/>
    </row>
    <row r="15" spans="2:12" ht="24" thickBot="1">
      <c r="B15" s="6"/>
      <c r="C15"/>
      <c r="D15" s="592" t="s">
        <v>661</v>
      </c>
      <c r="E15" s="678"/>
      <c r="F15" s="679"/>
      <c r="G15" s="679"/>
      <c r="H15" s="679"/>
      <c r="I15" s="679"/>
      <c r="J15" s="679"/>
      <c r="K15" s="679"/>
      <c r="L15" s="680"/>
    </row>
    <row r="16" spans="2:12">
      <c r="C16"/>
    </row>
    <row r="17" spans="2:13">
      <c r="C17"/>
    </row>
    <row r="18" spans="2:13" s="554" customFormat="1" ht="28">
      <c r="B18" s="54" t="s">
        <v>630</v>
      </c>
      <c r="C18" s="54"/>
      <c r="D18" s="54"/>
      <c r="E18" s="53"/>
      <c r="F18" s="584" t="s">
        <v>640</v>
      </c>
      <c r="G18" s="584" t="s">
        <v>641</v>
      </c>
      <c r="H18" s="584" t="s">
        <v>642</v>
      </c>
      <c r="I18" s="584" t="s">
        <v>643</v>
      </c>
      <c r="J18" s="584" t="s">
        <v>644</v>
      </c>
      <c r="K18" s="584" t="s">
        <v>645</v>
      </c>
      <c r="L18" s="584" t="s">
        <v>684</v>
      </c>
      <c r="M18" s="594" t="s">
        <v>663</v>
      </c>
    </row>
    <row r="19" spans="2:13" s="14" customFormat="1" ht="56.5" thickBot="1">
      <c r="B19" s="682" t="s">
        <v>678</v>
      </c>
      <c r="C19" s="682"/>
      <c r="D19" s="682"/>
      <c r="E19" s="683"/>
      <c r="F19" s="597" t="str">
        <f>'Design options'!B3</f>
        <v>Exhaust heat recovery (regenerator)</v>
      </c>
      <c r="G19" s="597" t="str">
        <f>'Design options'!B4</f>
        <v>Exhaust air heat pump</v>
      </c>
      <c r="H19" s="597" t="str">
        <f>'Design options'!B5</f>
        <v>Automatic programme for load and soil recognition</v>
      </c>
      <c r="I19" s="597" t="str">
        <f>'Design options'!B6</f>
        <v xml:space="preserve">Improved thermal insulation (double-walled design) </v>
      </c>
      <c r="J19" s="597" t="str">
        <f>'Design options'!B7</f>
        <v>Further substitution  of metals by polymers</v>
      </c>
      <c r="K19" s="597" t="str">
        <f>'Design options'!B8</f>
        <v>Modular design and reuse of electronics</v>
      </c>
      <c r="L19" s="622" t="str">
        <f>'Design options'!B9</f>
        <v xml:space="preserve">Other relevant design option (stakeholder input)
</v>
      </c>
    </row>
    <row r="20" spans="2:13" customFormat="1" ht="28.5" thickBot="1">
      <c r="B20" s="57" t="s">
        <v>304</v>
      </c>
      <c r="C20" s="57" t="s">
        <v>305</v>
      </c>
      <c r="D20" s="57" t="s">
        <v>7</v>
      </c>
      <c r="E20" s="570" t="s">
        <v>503</v>
      </c>
      <c r="F20" s="578" t="s">
        <v>662</v>
      </c>
      <c r="G20" s="578" t="s">
        <v>662</v>
      </c>
      <c r="H20" s="578" t="s">
        <v>662</v>
      </c>
      <c r="I20" s="578" t="s">
        <v>662</v>
      </c>
      <c r="J20" s="578" t="s">
        <v>662</v>
      </c>
      <c r="K20" s="58" t="s">
        <v>662</v>
      </c>
      <c r="L20" s="58" t="s">
        <v>662</v>
      </c>
      <c r="M20" s="58" t="s">
        <v>662</v>
      </c>
    </row>
    <row r="21" spans="2:13" customFormat="1">
      <c r="B21" s="31" t="s">
        <v>259</v>
      </c>
      <c r="C21" s="61">
        <v>44.53</v>
      </c>
      <c r="D21" s="556" t="s">
        <v>309</v>
      </c>
      <c r="E21" s="571">
        <v>1</v>
      </c>
      <c r="F21" s="627"/>
      <c r="G21" s="627"/>
      <c r="H21" s="627"/>
      <c r="I21" s="627"/>
      <c r="J21" s="627"/>
      <c r="K21" s="627"/>
      <c r="L21" s="627"/>
      <c r="M21" s="628"/>
    </row>
    <row r="22" spans="2:13" customFormat="1">
      <c r="B22" s="31" t="s">
        <v>313</v>
      </c>
      <c r="C22" s="61">
        <v>4.7324999999999999</v>
      </c>
      <c r="D22" s="556" t="s">
        <v>309</v>
      </c>
      <c r="E22" s="572">
        <v>1</v>
      </c>
      <c r="F22" s="614"/>
      <c r="G22" s="614"/>
      <c r="H22" s="614"/>
      <c r="I22" s="614"/>
      <c r="J22" s="614"/>
      <c r="K22" s="614"/>
      <c r="L22" s="614"/>
      <c r="M22" s="624"/>
    </row>
    <row r="23" spans="2:13" customFormat="1">
      <c r="B23" s="31" t="s">
        <v>316</v>
      </c>
      <c r="C23" s="61">
        <v>0.5</v>
      </c>
      <c r="D23" s="556" t="s">
        <v>309</v>
      </c>
      <c r="E23" s="572">
        <v>1</v>
      </c>
      <c r="F23" s="614"/>
      <c r="G23" s="614"/>
      <c r="H23" s="614"/>
      <c r="I23" s="614"/>
      <c r="J23" s="614"/>
      <c r="K23" s="614"/>
      <c r="L23" s="614"/>
      <c r="M23" s="624"/>
    </row>
    <row r="24" spans="2:13" customFormat="1">
      <c r="B24" s="31" t="s">
        <v>319</v>
      </c>
      <c r="C24" s="61">
        <v>0.63500000000000001</v>
      </c>
      <c r="D24" s="556" t="s">
        <v>309</v>
      </c>
      <c r="E24" s="572">
        <v>1</v>
      </c>
      <c r="F24" s="614"/>
      <c r="G24" s="614"/>
      <c r="H24" s="614"/>
      <c r="I24" s="614"/>
      <c r="J24" s="614"/>
      <c r="K24" s="614"/>
      <c r="L24" s="614"/>
      <c r="M24" s="624"/>
    </row>
    <row r="25" spans="2:13" customFormat="1">
      <c r="B25" s="31" t="s">
        <v>261</v>
      </c>
      <c r="C25" s="61">
        <v>2.4473684210526319</v>
      </c>
      <c r="D25" s="556" t="s">
        <v>309</v>
      </c>
      <c r="E25" s="572">
        <v>1</v>
      </c>
      <c r="F25" s="614"/>
      <c r="G25" s="614"/>
      <c r="H25" s="614"/>
      <c r="I25" s="614"/>
      <c r="J25" s="614"/>
      <c r="K25" s="614"/>
      <c r="L25" s="614"/>
      <c r="M25" s="624"/>
    </row>
    <row r="26" spans="2:13" customFormat="1">
      <c r="B26" s="31" t="s">
        <v>262</v>
      </c>
      <c r="C26" s="61">
        <v>2.4473684210526319</v>
      </c>
      <c r="D26" s="556" t="s">
        <v>309</v>
      </c>
      <c r="E26" s="572">
        <v>1</v>
      </c>
      <c r="F26" s="614"/>
      <c r="G26" s="614"/>
      <c r="H26" s="614"/>
      <c r="I26" s="614"/>
      <c r="J26" s="614"/>
      <c r="K26" s="614"/>
      <c r="L26" s="614"/>
      <c r="M26" s="624"/>
    </row>
    <row r="27" spans="2:13" customFormat="1">
      <c r="B27" s="31" t="s">
        <v>263</v>
      </c>
      <c r="C27" s="61">
        <v>2.2026315789473685</v>
      </c>
      <c r="D27" s="556" t="s">
        <v>309</v>
      </c>
      <c r="E27" s="572">
        <v>1</v>
      </c>
      <c r="F27" s="614"/>
      <c r="G27" s="614"/>
      <c r="H27" s="614"/>
      <c r="I27" s="614"/>
      <c r="J27" s="614"/>
      <c r="K27" s="614"/>
      <c r="L27" s="614"/>
      <c r="M27" s="624"/>
    </row>
    <row r="28" spans="2:13" customFormat="1">
      <c r="B28" s="31" t="s">
        <v>264</v>
      </c>
      <c r="C28" s="61">
        <v>2.2026315789473685</v>
      </c>
      <c r="D28" s="556" t="s">
        <v>309</v>
      </c>
      <c r="E28" s="572">
        <v>1</v>
      </c>
      <c r="F28" s="614"/>
      <c r="G28" s="614"/>
      <c r="H28" s="614"/>
      <c r="I28" s="614"/>
      <c r="J28" s="614"/>
      <c r="K28" s="614"/>
      <c r="L28" s="614"/>
      <c r="M28" s="624"/>
    </row>
    <row r="29" spans="2:13" customFormat="1">
      <c r="B29" s="31" t="s">
        <v>327</v>
      </c>
      <c r="C29" s="61">
        <v>0.35</v>
      </c>
      <c r="D29" s="556" t="s">
        <v>309</v>
      </c>
      <c r="E29" s="572">
        <v>1</v>
      </c>
      <c r="F29" s="614"/>
      <c r="G29" s="614"/>
      <c r="H29" s="614"/>
      <c r="I29" s="614"/>
      <c r="J29" s="614"/>
      <c r="K29" s="614"/>
      <c r="L29" s="614"/>
      <c r="M29" s="624"/>
    </row>
    <row r="30" spans="2:13" customFormat="1">
      <c r="B30" s="31" t="s">
        <v>265</v>
      </c>
      <c r="C30" s="61">
        <v>1.2000000000000002</v>
      </c>
      <c r="D30" s="556" t="s">
        <v>309</v>
      </c>
      <c r="E30" s="572">
        <v>1</v>
      </c>
      <c r="F30" s="614"/>
      <c r="G30" s="614"/>
      <c r="H30" s="614"/>
      <c r="I30" s="614"/>
      <c r="J30" s="614"/>
      <c r="K30" s="614"/>
      <c r="L30" s="614"/>
      <c r="M30" s="624"/>
    </row>
    <row r="31" spans="2:13" customFormat="1">
      <c r="B31" s="31" t="s">
        <v>332</v>
      </c>
      <c r="C31" s="61">
        <v>0.3</v>
      </c>
      <c r="D31" s="556" t="s">
        <v>309</v>
      </c>
      <c r="E31" s="572">
        <v>1</v>
      </c>
      <c r="F31" s="614"/>
      <c r="G31" s="614"/>
      <c r="H31" s="614"/>
      <c r="I31" s="614"/>
      <c r="J31" s="614"/>
      <c r="K31" s="614"/>
      <c r="L31" s="614"/>
      <c r="M31" s="624"/>
    </row>
    <row r="32" spans="2:13" customFormat="1">
      <c r="B32" s="31" t="s">
        <v>335</v>
      </c>
      <c r="C32" s="61">
        <v>0.15</v>
      </c>
      <c r="D32" s="556" t="s">
        <v>309</v>
      </c>
      <c r="E32" s="572">
        <v>1</v>
      </c>
      <c r="F32" s="614"/>
      <c r="G32" s="614"/>
      <c r="H32" s="614"/>
      <c r="I32" s="614"/>
      <c r="J32" s="614"/>
      <c r="K32" s="614"/>
      <c r="L32" s="614"/>
      <c r="M32" s="624"/>
    </row>
    <row r="33" spans="2:16" customFormat="1">
      <c r="B33" s="31" t="s">
        <v>342</v>
      </c>
      <c r="C33" s="61">
        <v>2.67</v>
      </c>
      <c r="D33" s="556" t="s">
        <v>309</v>
      </c>
      <c r="E33" s="572">
        <v>1</v>
      </c>
      <c r="F33" s="614"/>
      <c r="G33" s="614"/>
      <c r="H33" s="614"/>
      <c r="I33" s="614"/>
      <c r="J33" s="614"/>
      <c r="K33" s="614"/>
      <c r="L33" s="614"/>
      <c r="M33" s="624"/>
    </row>
    <row r="34" spans="2:16" customFormat="1">
      <c r="B34" s="31" t="s">
        <v>338</v>
      </c>
      <c r="C34" s="61">
        <v>1.2662337662337662</v>
      </c>
      <c r="D34" s="556" t="s">
        <v>493</v>
      </c>
      <c r="E34" s="572">
        <v>1</v>
      </c>
      <c r="F34" s="614"/>
      <c r="G34" s="614"/>
      <c r="H34" s="614"/>
      <c r="I34" s="614"/>
      <c r="J34" s="614"/>
      <c r="K34" s="614"/>
      <c r="L34" s="614"/>
      <c r="M34" s="624"/>
    </row>
    <row r="35" spans="2:16" customFormat="1">
      <c r="B35" s="31">
        <v>0</v>
      </c>
      <c r="C35" s="61">
        <v>0</v>
      </c>
      <c r="D35" s="556">
        <v>0</v>
      </c>
      <c r="E35" s="572">
        <v>1</v>
      </c>
      <c r="F35" s="614"/>
      <c r="G35" s="614"/>
      <c r="H35" s="614"/>
      <c r="I35" s="614"/>
      <c r="J35" s="614"/>
      <c r="K35" s="614"/>
      <c r="L35" s="614"/>
      <c r="M35" s="624"/>
    </row>
    <row r="36" spans="2:16" customFormat="1">
      <c r="B36" s="31">
        <v>0</v>
      </c>
      <c r="C36" s="61">
        <v>0</v>
      </c>
      <c r="D36" s="556">
        <v>0</v>
      </c>
      <c r="E36" s="572">
        <v>1</v>
      </c>
      <c r="F36" s="614"/>
      <c r="G36" s="614"/>
      <c r="H36" s="614"/>
      <c r="I36" s="614"/>
      <c r="J36" s="614"/>
      <c r="K36" s="614"/>
      <c r="L36" s="614"/>
      <c r="M36" s="624"/>
    </row>
    <row r="37" spans="2:16" customFormat="1">
      <c r="B37" s="31">
        <v>0</v>
      </c>
      <c r="C37" s="61">
        <v>0</v>
      </c>
      <c r="D37" s="556">
        <v>0</v>
      </c>
      <c r="E37" s="572">
        <v>1</v>
      </c>
      <c r="F37" s="614"/>
      <c r="G37" s="614"/>
      <c r="H37" s="614"/>
      <c r="I37" s="614"/>
      <c r="J37" s="614"/>
      <c r="K37" s="614"/>
      <c r="L37" s="614"/>
      <c r="M37" s="624"/>
    </row>
    <row r="38" spans="2:16" customFormat="1">
      <c r="B38" s="31">
        <v>0</v>
      </c>
      <c r="C38" s="61">
        <v>0</v>
      </c>
      <c r="D38" s="556">
        <v>0</v>
      </c>
      <c r="E38" s="572">
        <v>1</v>
      </c>
      <c r="F38" s="614"/>
      <c r="G38" s="614"/>
      <c r="H38" s="614"/>
      <c r="I38" s="614"/>
      <c r="J38" s="614"/>
      <c r="K38" s="614"/>
      <c r="L38" s="614"/>
      <c r="M38" s="624"/>
    </row>
    <row r="39" spans="2:16" customFormat="1">
      <c r="B39" s="31">
        <v>0</v>
      </c>
      <c r="C39" s="61">
        <v>0</v>
      </c>
      <c r="D39" s="556">
        <v>0</v>
      </c>
      <c r="E39" s="572">
        <v>1</v>
      </c>
      <c r="F39" s="614"/>
      <c r="G39" s="614"/>
      <c r="H39" s="614"/>
      <c r="I39" s="614"/>
      <c r="J39" s="614"/>
      <c r="K39" s="614"/>
      <c r="L39" s="614"/>
      <c r="M39" s="624"/>
    </row>
    <row r="40" spans="2:16" s="554" customFormat="1">
      <c r="B40" s="552">
        <v>0</v>
      </c>
      <c r="C40" s="553">
        <v>0</v>
      </c>
      <c r="D40" s="557">
        <v>0</v>
      </c>
      <c r="E40" s="572">
        <v>1</v>
      </c>
      <c r="F40" s="614"/>
      <c r="G40" s="614"/>
      <c r="H40" s="614"/>
      <c r="I40" s="614"/>
      <c r="J40" s="614"/>
      <c r="K40" s="614"/>
      <c r="L40" s="614"/>
      <c r="M40" s="624"/>
    </row>
    <row r="41" spans="2:16" customFormat="1">
      <c r="B41" s="31">
        <v>0</v>
      </c>
      <c r="C41" s="61">
        <v>0</v>
      </c>
      <c r="D41" s="557">
        <v>0</v>
      </c>
      <c r="E41" s="572">
        <v>1</v>
      </c>
      <c r="F41" s="614"/>
      <c r="G41" s="614"/>
      <c r="H41" s="614"/>
      <c r="I41" s="614"/>
      <c r="J41" s="614"/>
      <c r="K41" s="614"/>
      <c r="L41" s="614"/>
      <c r="M41" s="624"/>
    </row>
    <row r="42" spans="2:16" customFormat="1">
      <c r="B42" s="31">
        <v>0</v>
      </c>
      <c r="C42" s="61">
        <v>0</v>
      </c>
      <c r="D42" s="556">
        <v>0</v>
      </c>
      <c r="E42" s="572">
        <v>1</v>
      </c>
      <c r="F42" s="614"/>
      <c r="G42" s="614"/>
      <c r="H42" s="614"/>
      <c r="I42" s="614"/>
      <c r="J42" s="614"/>
      <c r="K42" s="614"/>
      <c r="L42" s="614"/>
      <c r="M42" s="624"/>
    </row>
    <row r="43" spans="2:16" customFormat="1">
      <c r="B43" s="31">
        <v>0</v>
      </c>
      <c r="C43" s="61">
        <v>0</v>
      </c>
      <c r="D43" s="556">
        <v>0</v>
      </c>
      <c r="E43" s="572">
        <v>1</v>
      </c>
      <c r="F43" s="614"/>
      <c r="G43" s="614"/>
      <c r="H43" s="614"/>
      <c r="I43" s="614"/>
      <c r="J43" s="614"/>
      <c r="K43" s="614"/>
      <c r="L43" s="614"/>
      <c r="M43" s="624"/>
    </row>
    <row r="44" spans="2:16" customFormat="1">
      <c r="B44" s="31">
        <v>0</v>
      </c>
      <c r="C44" s="61">
        <v>0</v>
      </c>
      <c r="D44" s="556">
        <v>0</v>
      </c>
      <c r="E44" s="572">
        <v>1</v>
      </c>
      <c r="F44" s="614"/>
      <c r="G44" s="614"/>
      <c r="H44" s="614"/>
      <c r="I44" s="614"/>
      <c r="J44" s="614"/>
      <c r="K44" s="614"/>
      <c r="L44" s="614"/>
      <c r="M44" s="624"/>
    </row>
    <row r="45" spans="2:16" customFormat="1" ht="14.5" thickBot="1">
      <c r="B45" s="68">
        <v>0</v>
      </c>
      <c r="C45" s="69">
        <v>0</v>
      </c>
      <c r="D45" s="559">
        <v>0</v>
      </c>
      <c r="E45" s="573">
        <v>1</v>
      </c>
      <c r="F45" s="629"/>
      <c r="G45" s="629"/>
      <c r="H45" s="629"/>
      <c r="I45" s="629"/>
      <c r="J45" s="629"/>
      <c r="K45" s="629"/>
      <c r="L45" s="629"/>
      <c r="M45" s="630"/>
    </row>
    <row r="46" spans="2:16" customFormat="1" ht="14.5" thickBot="1">
      <c r="B46" s="74" t="s">
        <v>353</v>
      </c>
      <c r="C46" s="75">
        <v>68.267499999999998</v>
      </c>
      <c r="D46" s="211" t="s">
        <v>309</v>
      </c>
      <c r="E46" s="574">
        <v>1</v>
      </c>
      <c r="F46" s="574"/>
      <c r="G46" s="574"/>
      <c r="H46" s="574"/>
      <c r="I46" s="574"/>
      <c r="J46" s="574"/>
      <c r="K46" s="560"/>
      <c r="L46" s="560"/>
      <c r="M46" s="560"/>
    </row>
    <row r="47" spans="2:16" customFormat="1" ht="24" thickBot="1">
      <c r="B47" s="3"/>
      <c r="C47" s="6"/>
      <c r="E47" s="592" t="s">
        <v>661</v>
      </c>
      <c r="F47" s="678"/>
      <c r="G47" s="679"/>
      <c r="H47" s="679"/>
      <c r="I47" s="679"/>
      <c r="J47" s="679"/>
      <c r="K47" s="679"/>
      <c r="L47" s="680"/>
      <c r="M47" s="593"/>
    </row>
    <row r="48" spans="2:16" customFormat="1">
      <c r="B48" s="5"/>
      <c r="C48" s="7"/>
      <c r="D48" s="8"/>
      <c r="E48" s="8"/>
      <c r="F48" s="8"/>
      <c r="G48" s="580"/>
      <c r="H48" s="581"/>
      <c r="I48" s="114"/>
      <c r="J48" s="114"/>
      <c r="K48" s="581"/>
      <c r="L48" s="581"/>
      <c r="M48" s="5"/>
      <c r="N48" s="5"/>
      <c r="O48" s="5"/>
      <c r="P48" s="4"/>
    </row>
    <row r="49" spans="1:16" customFormat="1">
      <c r="B49" s="5"/>
      <c r="C49" s="7"/>
      <c r="D49" s="8"/>
      <c r="E49" s="8"/>
      <c r="F49" s="8"/>
      <c r="G49" s="580"/>
      <c r="H49" s="581"/>
      <c r="I49" s="114"/>
      <c r="J49" s="114"/>
      <c r="K49" s="581"/>
      <c r="L49" s="581"/>
      <c r="M49" s="5"/>
      <c r="N49" s="5"/>
      <c r="O49" s="5"/>
      <c r="P49" s="4"/>
    </row>
    <row r="50" spans="1:16" s="567" customFormat="1" ht="28">
      <c r="B50" s="54" t="s">
        <v>631</v>
      </c>
      <c r="C50" s="99"/>
      <c r="D50" s="54"/>
      <c r="E50" s="54"/>
      <c r="F50" s="584" t="s">
        <v>634</v>
      </c>
      <c r="G50" s="584" t="s">
        <v>635</v>
      </c>
      <c r="H50" s="584" t="s">
        <v>636</v>
      </c>
      <c r="I50" s="584" t="s">
        <v>637</v>
      </c>
      <c r="J50" s="584" t="s">
        <v>638</v>
      </c>
      <c r="K50" s="584" t="s">
        <v>639</v>
      </c>
      <c r="L50" s="584" t="s">
        <v>684</v>
      </c>
      <c r="M50" s="594" t="s">
        <v>663</v>
      </c>
    </row>
    <row r="51" spans="1:16" s="147" customFormat="1" ht="56.5" thickBot="1">
      <c r="B51" s="682" t="s">
        <v>677</v>
      </c>
      <c r="C51" s="682"/>
      <c r="D51" s="682"/>
      <c r="E51" s="683"/>
      <c r="F51" s="595" t="str">
        <f>F19</f>
        <v>Exhaust heat recovery (regenerator)</v>
      </c>
      <c r="G51" s="595" t="str">
        <f t="shared" ref="G51:L51" si="1">G19</f>
        <v>Exhaust air heat pump</v>
      </c>
      <c r="H51" s="595" t="str">
        <f t="shared" si="1"/>
        <v>Automatic programme for load and soil recognition</v>
      </c>
      <c r="I51" s="595" t="str">
        <f t="shared" si="1"/>
        <v xml:space="preserve">Improved thermal insulation (double-walled design) </v>
      </c>
      <c r="J51" s="595" t="str">
        <f t="shared" si="1"/>
        <v>Further substitution  of metals by polymers</v>
      </c>
      <c r="K51" s="595" t="str">
        <f t="shared" si="1"/>
        <v>Modular design and reuse of electronics</v>
      </c>
      <c r="L51" s="595" t="str">
        <f t="shared" si="1"/>
        <v xml:space="preserve">Other relevant design option (stakeholder input)
</v>
      </c>
      <c r="M51" s="596"/>
    </row>
    <row r="52" spans="1:16" s="114" customFormat="1" ht="28.5" thickBot="1">
      <c r="B52" s="555" t="s">
        <v>667</v>
      </c>
      <c r="C52" s="18" t="s">
        <v>305</v>
      </c>
      <c r="D52" s="18" t="s">
        <v>7</v>
      </c>
      <c r="E52" s="575" t="s">
        <v>503</v>
      </c>
      <c r="F52" s="578" t="s">
        <v>662</v>
      </c>
      <c r="G52" s="578" t="s">
        <v>662</v>
      </c>
      <c r="H52" s="578" t="s">
        <v>662</v>
      </c>
      <c r="I52" s="578" t="s">
        <v>662</v>
      </c>
      <c r="J52" s="578" t="s">
        <v>662</v>
      </c>
      <c r="K52" s="58" t="s">
        <v>662</v>
      </c>
      <c r="L52" s="58" t="s">
        <v>662</v>
      </c>
      <c r="M52" s="58" t="s">
        <v>662</v>
      </c>
    </row>
    <row r="53" spans="1:16" s="114" customFormat="1">
      <c r="B53" s="30"/>
      <c r="C53" s="565"/>
      <c r="D53" s="566"/>
      <c r="E53" s="571"/>
      <c r="F53" s="639"/>
      <c r="G53" s="640"/>
      <c r="H53" s="640"/>
      <c r="I53" s="640"/>
      <c r="J53" s="640"/>
      <c r="K53" s="640"/>
      <c r="L53" s="640"/>
      <c r="M53" s="637"/>
    </row>
    <row r="54" spans="1:16" ht="28">
      <c r="B54" s="30" t="s">
        <v>626</v>
      </c>
      <c r="C54" s="600">
        <v>2.93</v>
      </c>
      <c r="D54" s="566" t="s">
        <v>57</v>
      </c>
      <c r="E54" s="571">
        <v>1</v>
      </c>
      <c r="F54" s="611"/>
      <c r="G54" s="612"/>
      <c r="H54" s="612"/>
      <c r="I54" s="612"/>
      <c r="J54" s="612"/>
      <c r="K54" s="612"/>
      <c r="L54" s="612"/>
      <c r="M54" s="624"/>
    </row>
    <row r="55" spans="1:16" s="4" customFormat="1" ht="28">
      <c r="B55" s="458" t="s">
        <v>627</v>
      </c>
      <c r="C55" s="604">
        <v>69</v>
      </c>
      <c r="D55" s="564" t="s">
        <v>59</v>
      </c>
      <c r="E55" s="572">
        <v>1</v>
      </c>
      <c r="F55" s="641"/>
      <c r="G55" s="615"/>
      <c r="H55" s="615"/>
      <c r="I55" s="615"/>
      <c r="J55" s="615"/>
      <c r="K55" s="615"/>
      <c r="L55" s="615"/>
      <c r="M55" s="624"/>
    </row>
    <row r="56" spans="1:16" s="4" customFormat="1" ht="28">
      <c r="B56" s="458" t="s">
        <v>629</v>
      </c>
      <c r="C56" s="605">
        <v>77</v>
      </c>
      <c r="D56" s="564" t="s">
        <v>60</v>
      </c>
      <c r="E56" s="572">
        <v>1</v>
      </c>
      <c r="F56" s="641"/>
      <c r="G56" s="615"/>
      <c r="H56" s="615"/>
      <c r="I56" s="615"/>
      <c r="J56" s="615"/>
      <c r="K56" s="615"/>
      <c r="L56" s="615"/>
      <c r="M56" s="624"/>
    </row>
    <row r="57" spans="1:16" s="4" customFormat="1" ht="28.5" thickBot="1">
      <c r="B57" s="458" t="s">
        <v>628</v>
      </c>
      <c r="C57" s="605">
        <v>7</v>
      </c>
      <c r="D57" s="564" t="s">
        <v>60</v>
      </c>
      <c r="E57" s="572">
        <v>1</v>
      </c>
      <c r="F57" s="642"/>
      <c r="G57" s="643"/>
      <c r="H57" s="643"/>
      <c r="I57" s="643"/>
      <c r="J57" s="643"/>
      <c r="K57" s="643"/>
      <c r="L57" s="643"/>
      <c r="M57" s="638"/>
    </row>
    <row r="58" spans="1:16" customFormat="1" ht="89.5" thickBot="1">
      <c r="B58" s="601" t="s">
        <v>668</v>
      </c>
      <c r="C58" s="6"/>
      <c r="E58" s="592" t="s">
        <v>661</v>
      </c>
      <c r="F58" s="678"/>
      <c r="G58" s="679"/>
      <c r="H58" s="679"/>
      <c r="I58" s="679"/>
      <c r="J58" s="679"/>
      <c r="K58" s="679"/>
      <c r="L58" s="680"/>
      <c r="M58" s="593"/>
    </row>
    <row r="61" spans="1:16" s="567" customFormat="1" ht="28">
      <c r="A61" s="568"/>
      <c r="B61" s="576" t="s">
        <v>632</v>
      </c>
      <c r="C61" s="577"/>
      <c r="D61" s="576"/>
      <c r="E61" s="577"/>
      <c r="F61" s="584" t="s">
        <v>634</v>
      </c>
      <c r="G61" s="584" t="s">
        <v>635</v>
      </c>
      <c r="H61" s="584" t="s">
        <v>636</v>
      </c>
      <c r="I61" s="584" t="s">
        <v>637</v>
      </c>
      <c r="J61" s="584" t="s">
        <v>638</v>
      </c>
      <c r="K61" s="584" t="s">
        <v>639</v>
      </c>
      <c r="L61" s="584" t="s">
        <v>684</v>
      </c>
      <c r="M61" s="594" t="s">
        <v>663</v>
      </c>
    </row>
    <row r="62" spans="1:16" s="147" customFormat="1" ht="56.5" thickBot="1">
      <c r="B62" s="682" t="s">
        <v>679</v>
      </c>
      <c r="C62" s="682"/>
      <c r="D62" s="682"/>
      <c r="E62" s="683"/>
      <c r="F62" s="595" t="str">
        <f>F19</f>
        <v>Exhaust heat recovery (regenerator)</v>
      </c>
      <c r="G62" s="595" t="str">
        <f t="shared" ref="G62:L62" si="2">G19</f>
        <v>Exhaust air heat pump</v>
      </c>
      <c r="H62" s="595" t="str">
        <f t="shared" si="2"/>
        <v>Automatic programme for load and soil recognition</v>
      </c>
      <c r="I62" s="595" t="str">
        <f t="shared" si="2"/>
        <v xml:space="preserve">Improved thermal insulation (double-walled design) </v>
      </c>
      <c r="J62" s="595" t="str">
        <f t="shared" si="2"/>
        <v>Further substitution  of metals by polymers</v>
      </c>
      <c r="K62" s="595" t="str">
        <f t="shared" si="2"/>
        <v>Modular design and reuse of electronics</v>
      </c>
      <c r="L62" s="595" t="str">
        <f t="shared" si="2"/>
        <v xml:space="preserve">Other relevant design option (stakeholder input)
</v>
      </c>
      <c r="M62" s="596"/>
    </row>
    <row r="63" spans="1:16" ht="28.5" thickBot="1">
      <c r="B63" s="561" t="s">
        <v>573</v>
      </c>
      <c r="C63" s="562" t="s">
        <v>305</v>
      </c>
      <c r="D63" s="561" t="s">
        <v>7</v>
      </c>
      <c r="E63" s="575" t="s">
        <v>503</v>
      </c>
      <c r="F63" s="578" t="s">
        <v>662</v>
      </c>
      <c r="G63" s="578" t="s">
        <v>662</v>
      </c>
      <c r="H63" s="578" t="s">
        <v>662</v>
      </c>
      <c r="I63" s="578" t="s">
        <v>662</v>
      </c>
      <c r="J63" s="578" t="s">
        <v>662</v>
      </c>
      <c r="K63" s="58" t="s">
        <v>662</v>
      </c>
      <c r="L63" s="58" t="s">
        <v>662</v>
      </c>
      <c r="M63" s="58" t="s">
        <v>662</v>
      </c>
    </row>
    <row r="64" spans="1:16">
      <c r="A64" s="4"/>
      <c r="B64" s="47" t="s">
        <v>416</v>
      </c>
      <c r="C64" s="273">
        <v>8</v>
      </c>
      <c r="D64" s="47" t="str">
        <f>'Input use - economics'!D36</f>
        <v>years</v>
      </c>
      <c r="E64" s="571">
        <v>1</v>
      </c>
      <c r="F64" s="612"/>
      <c r="G64" s="612"/>
      <c r="H64" s="612"/>
      <c r="I64" s="612"/>
      <c r="J64" s="612"/>
      <c r="K64" s="612"/>
      <c r="L64" s="623"/>
      <c r="M64" s="616"/>
    </row>
    <row r="65" spans="1:13" ht="14.5" thickBot="1">
      <c r="A65" s="4"/>
      <c r="B65" s="33" t="s">
        <v>422</v>
      </c>
      <c r="C65" s="452">
        <v>5658.5</v>
      </c>
      <c r="D65" s="33" t="str">
        <f>'Input use - economics'!D40</f>
        <v>Euro/unit</v>
      </c>
      <c r="E65" s="571">
        <v>1</v>
      </c>
      <c r="F65" s="644"/>
      <c r="G65" s="644"/>
      <c r="H65" s="644"/>
      <c r="I65" s="644"/>
      <c r="J65" s="644"/>
      <c r="K65" s="644"/>
      <c r="L65" s="645"/>
      <c r="M65" s="617"/>
    </row>
    <row r="66" spans="1:13" customFormat="1" ht="24" thickBot="1">
      <c r="B66" s="3"/>
      <c r="C66" s="6"/>
      <c r="E66" s="592" t="s">
        <v>661</v>
      </c>
      <c r="F66" s="678"/>
      <c r="G66" s="679"/>
      <c r="H66" s="679"/>
      <c r="I66" s="679"/>
      <c r="J66" s="679"/>
      <c r="K66" s="679"/>
      <c r="L66" s="680"/>
      <c r="M66" s="593"/>
    </row>
    <row r="68" spans="1:13">
      <c r="C68"/>
      <c r="D68" s="461"/>
      <c r="E68" s="461"/>
      <c r="F68" s="582"/>
      <c r="G68" s="583"/>
    </row>
  </sheetData>
  <mergeCells count="8">
    <mergeCell ref="F66:L66"/>
    <mergeCell ref="B5:E5"/>
    <mergeCell ref="B19:E19"/>
    <mergeCell ref="B51:E51"/>
    <mergeCell ref="B62:E62"/>
    <mergeCell ref="E15:L15"/>
    <mergeCell ref="F47:L47"/>
    <mergeCell ref="F58:L58"/>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BBB4E87-14A0-44CD-AAF7-32E97CBC390D}">
          <x14:formula1>
            <xm:f>Lists!$B$10:$B$12</xm:f>
          </x14:formula1>
          <xm:sqref>F9:F14 G10:G14 H11:H14 I12:I14 J13:J14 K14</xm:sqref>
        </x14:dataValidation>
        <x14:dataValidation type="list" allowBlank="1" showInputMessage="1" showErrorMessage="1" xr:uid="{CA6705FC-4886-4D93-8636-39BB552EFE09}">
          <x14:formula1>
            <xm:f>Lists!$B$2:$B$3</xm:f>
          </x14:formula1>
          <xm:sqref>E8:E14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8888E-2DB0-45BA-862E-4520DBD5E550}">
  <sheetPr>
    <tabColor theme="5"/>
  </sheetPr>
  <dimension ref="A1:P196"/>
  <sheetViews>
    <sheetView topLeftCell="A102" zoomScale="90" zoomScaleNormal="90" workbookViewId="0">
      <selection activeCell="C175" sqref="C175"/>
    </sheetView>
  </sheetViews>
  <sheetFormatPr baseColWidth="10" defaultColWidth="8.75" defaultRowHeight="14"/>
  <cols>
    <col min="1" max="1" width="5" style="3" customWidth="1"/>
    <col min="2" max="2" width="46.25" style="3" customWidth="1"/>
    <col min="3" max="3" width="12.25" style="3" customWidth="1"/>
    <col min="4" max="4" width="15.1640625" style="3" customWidth="1"/>
    <col min="5" max="5" width="17.25" style="3" customWidth="1"/>
    <col min="6" max="6" width="22.5" style="3" customWidth="1"/>
    <col min="7" max="7" width="34" style="3" customWidth="1"/>
    <col min="8" max="8" width="43.4140625" style="3" customWidth="1"/>
    <col min="9" max="9" width="17.5" style="3" customWidth="1"/>
    <col min="10" max="10" width="45.75" style="3" customWidth="1"/>
    <col min="11" max="11" width="24.5" style="3" customWidth="1"/>
    <col min="12" max="12" width="24.25" style="3" customWidth="1"/>
    <col min="13" max="13" width="18.75" style="3" customWidth="1"/>
    <col min="14" max="14" width="26.83203125" style="3" customWidth="1"/>
    <col min="15" max="15" width="102.83203125" style="3" customWidth="1"/>
    <col min="16" max="16" width="103.5" style="3" customWidth="1"/>
    <col min="17" max="16384" width="8.75" style="3"/>
  </cols>
  <sheetData>
    <row r="1" spans="2:16" ht="23.5">
      <c r="B1" s="6" t="s">
        <v>443</v>
      </c>
      <c r="C1"/>
    </row>
    <row r="2" spans="2:16">
      <c r="B2" s="15" t="s">
        <v>444</v>
      </c>
      <c r="C2"/>
    </row>
    <row r="3" spans="2:16">
      <c r="B3" s="16" t="s">
        <v>445</v>
      </c>
      <c r="C3"/>
    </row>
    <row r="4" spans="2:16">
      <c r="C4"/>
    </row>
    <row r="5" spans="2:16" ht="14.5" thickBot="1">
      <c r="B5"/>
      <c r="C5"/>
    </row>
    <row r="6" spans="2:16" ht="14.5" thickBot="1">
      <c r="B6" s="693" t="s">
        <v>446</v>
      </c>
      <c r="C6" s="694"/>
      <c r="D6" s="694"/>
      <c r="E6" s="694"/>
      <c r="F6" s="694"/>
      <c r="G6" s="694"/>
      <c r="H6" s="694"/>
      <c r="I6" s="695"/>
    </row>
    <row r="7" spans="2:16" ht="14.5">
      <c r="B7" s="270" t="s">
        <v>447</v>
      </c>
      <c r="C7" s="696" t="str">
        <f>'Input BoM- Manufacturing'!H4</f>
        <v>Base case 2</v>
      </c>
      <c r="D7" s="696"/>
      <c r="E7" s="696"/>
      <c r="F7" s="696"/>
      <c r="G7" s="696"/>
      <c r="H7" s="696"/>
      <c r="I7" s="696"/>
    </row>
    <row r="8" spans="2:16" ht="14.5">
      <c r="B8" s="271" t="s">
        <v>448</v>
      </c>
      <c r="C8" s="697" t="str">
        <f>'Input BoM- Manufacturing'!$H$5</f>
        <v>Undercounter one-tank dishwashers</v>
      </c>
      <c r="D8" s="697"/>
      <c r="E8" s="697"/>
      <c r="F8" s="697"/>
      <c r="G8" s="697"/>
      <c r="H8" s="697"/>
      <c r="I8" s="697"/>
    </row>
    <row r="9" spans="2:16" ht="14.5">
      <c r="B9" s="173" t="s">
        <v>449</v>
      </c>
      <c r="C9" s="697" t="s">
        <v>450</v>
      </c>
      <c r="D9" s="697"/>
      <c r="E9" s="697"/>
      <c r="F9" s="697"/>
      <c r="G9" s="697"/>
      <c r="H9" s="697"/>
      <c r="I9" s="697"/>
    </row>
    <row r="10" spans="2:16" ht="15" thickBot="1">
      <c r="B10" s="272" t="s">
        <v>451</v>
      </c>
      <c r="C10" s="698" t="s">
        <v>452</v>
      </c>
      <c r="D10" s="698"/>
      <c r="E10" s="698"/>
      <c r="F10" s="698"/>
      <c r="G10" s="698"/>
      <c r="H10" s="698"/>
      <c r="I10" s="698"/>
    </row>
    <row r="12" spans="2:16" s="53" customFormat="1" ht="21">
      <c r="B12" s="54" t="s">
        <v>453</v>
      </c>
      <c r="C12" s="54"/>
      <c r="D12" s="54"/>
      <c r="G12" s="99"/>
    </row>
    <row r="13" spans="2:16" customFormat="1" ht="15.65" customHeight="1">
      <c r="C13" s="1"/>
      <c r="D13" s="1"/>
      <c r="G13" s="3"/>
    </row>
    <row r="14" spans="2:16" customFormat="1" ht="14.5">
      <c r="B14" s="13"/>
      <c r="G14" s="3"/>
    </row>
    <row r="15" spans="2:16" customFormat="1" ht="15" thickBot="1">
      <c r="B15" s="13" t="s">
        <v>601</v>
      </c>
      <c r="D15" s="79" t="s">
        <v>454</v>
      </c>
      <c r="G15" s="3"/>
      <c r="N15" s="13" t="s">
        <v>455</v>
      </c>
    </row>
    <row r="16" spans="2:16" customFormat="1" ht="28.5" thickBot="1">
      <c r="B16" s="57" t="s">
        <v>304</v>
      </c>
      <c r="C16" s="57" t="s">
        <v>305</v>
      </c>
      <c r="D16" s="57" t="s">
        <v>7</v>
      </c>
      <c r="E16" s="57" t="s">
        <v>306</v>
      </c>
      <c r="F16" s="57" t="s">
        <v>307</v>
      </c>
      <c r="G16" s="58" t="s">
        <v>456</v>
      </c>
      <c r="H16" s="58" t="s">
        <v>457</v>
      </c>
      <c r="I16" s="57" t="s">
        <v>458</v>
      </c>
      <c r="J16" s="57" t="s">
        <v>459</v>
      </c>
      <c r="K16" s="57" t="s">
        <v>460</v>
      </c>
      <c r="L16" s="57" t="s">
        <v>461</v>
      </c>
      <c r="M16" s="17" t="s">
        <v>462</v>
      </c>
      <c r="N16" s="40" t="s">
        <v>463</v>
      </c>
      <c r="O16" s="57" t="s">
        <v>464</v>
      </c>
      <c r="P16" s="57" t="s">
        <v>465</v>
      </c>
    </row>
    <row r="17" spans="2:16" customFormat="1" ht="14.5">
      <c r="B17" s="31" t="str">
        <f>'Input BoM- Manufacturing'!H7</f>
        <v>Stainless steel</v>
      </c>
      <c r="C17" s="61">
        <f>'Input BoM- Manufacturing'!I7</f>
        <v>44.53</v>
      </c>
      <c r="D17" s="208" t="str">
        <f>'Input BoM- Manufacturing'!J7</f>
        <v>kg</v>
      </c>
      <c r="E17" s="59">
        <f>'Input BoM- Manufacturing'!K7</f>
        <v>0.65228695938770287</v>
      </c>
      <c r="F17" s="208" t="str">
        <f>'Input BoM- Manufacturing'!L7</f>
        <v>3-Ferrous</v>
      </c>
      <c r="G17" s="169" t="s">
        <v>466</v>
      </c>
      <c r="H17" s="62" t="str">
        <f>IF(G17="Yes", "Default","")</f>
        <v>Default</v>
      </c>
      <c r="I17" s="33" t="s">
        <v>467</v>
      </c>
      <c r="J17" s="31" t="str">
        <f>IF(I17="Stakeholder input","High quality",IF(I17="Previous study","Medium quality",IF(I17="Literature","Medium quality",IF(I17="Googling","Fair quality",IF(I17="Scientific literature","High quality",IF(I17="Expert judgement","Medium quality",""))))))</f>
        <v>Medium quality</v>
      </c>
      <c r="K17" s="31"/>
      <c r="L17" s="36" t="s">
        <v>496</v>
      </c>
      <c r="M17" s="35"/>
      <c r="N17" s="39"/>
      <c r="O17" s="31" t="s">
        <v>468</v>
      </c>
      <c r="P17" s="31" t="s">
        <v>469</v>
      </c>
    </row>
    <row r="18" spans="2:16" customFormat="1" ht="14.5">
      <c r="B18" s="31" t="str">
        <f>'Input BoM- Manufacturing'!H8</f>
        <v>Polypropylene (PP)</v>
      </c>
      <c r="C18" s="61">
        <f>'Input BoM- Manufacturing'!I8</f>
        <v>4.7324999999999999</v>
      </c>
      <c r="D18" s="208" t="str">
        <f>'Input BoM- Manufacturing'!J8</f>
        <v>kg</v>
      </c>
      <c r="E18" s="59">
        <f>'Input BoM- Manufacturing'!K8</f>
        <v>6.9322884242135716E-2</v>
      </c>
      <c r="F18" s="208" t="str">
        <f>'Input BoM- Manufacturing'!L8</f>
        <v>1-BlkPlastics</v>
      </c>
      <c r="G18" s="169"/>
      <c r="H18" s="62" t="str">
        <f t="shared" ref="H18:H40" si="0">IF(G18="Yes", "Default","")</f>
        <v/>
      </c>
      <c r="I18" s="33"/>
      <c r="J18" s="31" t="str">
        <f t="shared" ref="J18:J38" si="1">IF(I18="Stakeholder input","High quality",IF(I18="Previous study","Medium quality",IF(I18="Literature","Medium quality",IF(I18="Googling","Fair quality",IF(I18="Scientific literature","High quality",IF(I18="Expert judgement","Medium quality",""))))))</f>
        <v/>
      </c>
      <c r="K18" s="31"/>
      <c r="L18" s="36"/>
      <c r="M18" s="35"/>
      <c r="N18" s="39"/>
      <c r="O18" s="31" t="s">
        <v>470</v>
      </c>
      <c r="P18" s="31" t="s">
        <v>471</v>
      </c>
    </row>
    <row r="19" spans="2:16" customFormat="1" ht="14.5">
      <c r="B19" s="31" t="str">
        <f>'Input BoM- Manufacturing'!H9</f>
        <v>Polyamide (PA)</v>
      </c>
      <c r="C19" s="61">
        <f>'Input BoM- Manufacturing'!I9</f>
        <v>0.5</v>
      </c>
      <c r="D19" s="208" t="str">
        <f>'Input BoM- Manufacturing'!J9</f>
        <v>kg</v>
      </c>
      <c r="E19" s="59">
        <f>'Input BoM- Manufacturing'!K9</f>
        <v>7.3241293441242174E-3</v>
      </c>
      <c r="F19" s="208" t="str">
        <f>'Input BoM- Manufacturing'!L9</f>
        <v>2-TecPlastics</v>
      </c>
      <c r="G19" s="169"/>
      <c r="H19" s="62" t="str">
        <f t="shared" si="0"/>
        <v/>
      </c>
      <c r="I19" s="33"/>
      <c r="J19" s="31" t="str">
        <f t="shared" si="1"/>
        <v/>
      </c>
      <c r="K19" s="31" t="s">
        <v>472</v>
      </c>
      <c r="L19" s="36"/>
      <c r="M19" s="35"/>
      <c r="N19" s="39"/>
      <c r="O19" s="31" t="s">
        <v>473</v>
      </c>
      <c r="P19" s="31" t="s">
        <v>474</v>
      </c>
    </row>
    <row r="20" spans="2:16" customFormat="1" ht="14.5">
      <c r="B20" s="31" t="str">
        <f>'Input BoM- Manufacturing'!H10</f>
        <v>Acrylonitrile Butadiene Styrene (ABS)</v>
      </c>
      <c r="C20" s="61">
        <f>'Input BoM- Manufacturing'!I10</f>
        <v>0.63500000000000001</v>
      </c>
      <c r="D20" s="208" t="str">
        <f>'Input BoM- Manufacturing'!J10</f>
        <v>kg</v>
      </c>
      <c r="E20" s="59">
        <f>'Input BoM- Manufacturing'!K10</f>
        <v>9.301644267037756E-3</v>
      </c>
      <c r="F20" s="208" t="str">
        <f>'Input BoM- Manufacturing'!L10</f>
        <v>1-BlkPlastics</v>
      </c>
      <c r="G20" s="169"/>
      <c r="H20" s="62" t="str">
        <f t="shared" si="0"/>
        <v/>
      </c>
      <c r="I20" s="33"/>
      <c r="J20" s="31" t="str">
        <f t="shared" si="1"/>
        <v/>
      </c>
      <c r="K20" s="31"/>
      <c r="L20" s="36"/>
      <c r="M20" s="35"/>
      <c r="N20" s="39"/>
      <c r="O20" s="31" t="s">
        <v>476</v>
      </c>
      <c r="P20" s="31" t="s">
        <v>477</v>
      </c>
    </row>
    <row r="21" spans="2:16" customFormat="1" ht="14.5">
      <c r="B21" s="31" t="str">
        <f>'Input BoM- Manufacturing'!H11</f>
        <v>Pumps (copper)</v>
      </c>
      <c r="C21" s="61">
        <f>'Input BoM- Manufacturing'!I11</f>
        <v>2.4473684210526319</v>
      </c>
      <c r="D21" s="208" t="str">
        <f>'Input BoM- Manufacturing'!J11</f>
        <v>kg</v>
      </c>
      <c r="E21" s="59">
        <f>'Input BoM- Manufacturing'!K11</f>
        <v>3.5849685737029069E-2</v>
      </c>
      <c r="F21" s="208" t="str">
        <f>'Input BoM- Manufacturing'!L11</f>
        <v>4-Non-ferrous</v>
      </c>
      <c r="G21" s="169"/>
      <c r="H21" s="62" t="str">
        <f t="shared" si="0"/>
        <v/>
      </c>
      <c r="I21" s="33"/>
      <c r="J21" s="31" t="str">
        <f t="shared" si="1"/>
        <v/>
      </c>
      <c r="K21" s="31"/>
      <c r="L21" s="36"/>
      <c r="M21" s="35"/>
      <c r="N21" s="39"/>
      <c r="O21" s="31" t="s">
        <v>491</v>
      </c>
      <c r="P21" s="31" t="s">
        <v>492</v>
      </c>
    </row>
    <row r="22" spans="2:16" customFormat="1" ht="14.5">
      <c r="B22" s="31" t="str">
        <f>'Input BoM- Manufacturing'!H12</f>
        <v>Pumps (stack of sheets)</v>
      </c>
      <c r="C22" s="61">
        <f>'Input BoM- Manufacturing'!I12</f>
        <v>2.4473684210526319</v>
      </c>
      <c r="D22" s="208" t="str">
        <f>'Input BoM- Manufacturing'!J12</f>
        <v>kg</v>
      </c>
      <c r="E22" s="59">
        <f>'Input BoM- Manufacturing'!K12</f>
        <v>3.5849685737029069E-2</v>
      </c>
      <c r="F22" s="208" t="str">
        <f>'Input BoM- Manufacturing'!L12</f>
        <v>3-Ferrous</v>
      </c>
      <c r="G22" s="169"/>
      <c r="H22" s="62" t="str">
        <f t="shared" si="0"/>
        <v/>
      </c>
      <c r="I22" s="33"/>
      <c r="J22" s="31" t="str">
        <f t="shared" si="1"/>
        <v/>
      </c>
      <c r="K22" s="31" t="s">
        <v>602</v>
      </c>
      <c r="L22" s="36"/>
      <c r="M22" s="35"/>
      <c r="N22" s="39"/>
      <c r="O22" s="31" t="s">
        <v>468</v>
      </c>
      <c r="P22" s="31" t="s">
        <v>469</v>
      </c>
    </row>
    <row r="23" spans="2:16" customFormat="1" ht="14.5">
      <c r="B23" s="31" t="str">
        <f>'Input BoM- Manufacturing'!H13</f>
        <v>Pumps (stainless steel wave)</v>
      </c>
      <c r="C23" s="61">
        <f>'Input BoM- Manufacturing'!I13</f>
        <v>2.2026315789473685</v>
      </c>
      <c r="D23" s="208" t="str">
        <f>'Input BoM- Manufacturing'!J13</f>
        <v>kg</v>
      </c>
      <c r="E23" s="59">
        <f>'Input BoM- Manufacturing'!K13</f>
        <v>3.2264717163326156E-2</v>
      </c>
      <c r="F23" s="208" t="str">
        <f>'Input BoM- Manufacturing'!L13</f>
        <v>3-Ferrous</v>
      </c>
      <c r="G23" s="169"/>
      <c r="H23" s="62" t="str">
        <f t="shared" si="0"/>
        <v/>
      </c>
      <c r="I23" s="33"/>
      <c r="J23" s="31" t="str">
        <f t="shared" si="1"/>
        <v/>
      </c>
      <c r="K23" s="31"/>
      <c r="L23" s="36"/>
      <c r="M23" s="35"/>
      <c r="N23" s="39"/>
      <c r="O23" s="31" t="s">
        <v>468</v>
      </c>
      <c r="P23" s="31" t="s">
        <v>469</v>
      </c>
    </row>
    <row r="24" spans="2:16" customFormat="1" ht="14.5">
      <c r="B24" s="31" t="str">
        <f>'Input BoM- Manufacturing'!H14</f>
        <v>Pumps (Al)</v>
      </c>
      <c r="C24" s="61">
        <f>'Input BoM- Manufacturing'!I14</f>
        <v>2.2026315789473685</v>
      </c>
      <c r="D24" s="208" t="str">
        <f>'Input BoM- Manufacturing'!J14</f>
        <v>kg</v>
      </c>
      <c r="E24" s="59">
        <f>'Input BoM- Manufacturing'!K14</f>
        <v>3.2264717163326156E-2</v>
      </c>
      <c r="F24" s="208" t="str">
        <f>'Input BoM- Manufacturing'!L14</f>
        <v>4-Non-ferrous</v>
      </c>
      <c r="G24" s="169"/>
      <c r="H24" s="62" t="str">
        <f t="shared" si="0"/>
        <v/>
      </c>
      <c r="I24" s="33"/>
      <c r="J24" s="31" t="str">
        <f t="shared" si="1"/>
        <v/>
      </c>
      <c r="K24" s="31"/>
      <c r="L24" s="36"/>
      <c r="M24" s="35"/>
      <c r="N24" s="39"/>
      <c r="O24" s="31" t="s">
        <v>489</v>
      </c>
      <c r="P24" s="31" t="s">
        <v>490</v>
      </c>
    </row>
    <row r="25" spans="2:16" customFormat="1" ht="14.5">
      <c r="B25" s="31" t="str">
        <f>'Input BoM- Manufacturing'!H15</f>
        <v xml:space="preserve">Aluminium </v>
      </c>
      <c r="C25" s="61">
        <f>'Input BoM- Manufacturing'!I15</f>
        <v>0.35</v>
      </c>
      <c r="D25" s="208" t="str">
        <f>'Input BoM- Manufacturing'!J15</f>
        <v>kg</v>
      </c>
      <c r="E25" s="59">
        <f>'Input BoM- Manufacturing'!K15</f>
        <v>5.1268905408869518E-3</v>
      </c>
      <c r="F25" s="208" t="str">
        <f>'Input BoM- Manufacturing'!L15</f>
        <v>4-Non-ferro</v>
      </c>
      <c r="G25" s="169"/>
      <c r="H25" s="62" t="str">
        <f t="shared" si="0"/>
        <v/>
      </c>
      <c r="I25" s="33"/>
      <c r="J25" s="31" t="str">
        <f t="shared" si="1"/>
        <v/>
      </c>
      <c r="K25" s="31"/>
      <c r="L25" s="36"/>
      <c r="M25" s="35"/>
      <c r="N25" s="39"/>
      <c r="O25" s="31" t="s">
        <v>489</v>
      </c>
      <c r="P25" s="31" t="s">
        <v>490</v>
      </c>
    </row>
    <row r="26" spans="2:16" customFormat="1" ht="14.5">
      <c r="B26" s="31" t="str">
        <f>'Input BoM- Manufacturing'!H16</f>
        <v>Cable (copper)</v>
      </c>
      <c r="C26" s="61">
        <f>'Input BoM- Manufacturing'!I16</f>
        <v>1.2000000000000002</v>
      </c>
      <c r="D26" s="208" t="str">
        <f>'Input BoM- Manufacturing'!J16</f>
        <v>kg</v>
      </c>
      <c r="E26" s="59">
        <f>'Input BoM- Manufacturing'!K16</f>
        <v>1.7577910425898124E-2</v>
      </c>
      <c r="F26" s="208" t="str">
        <f>'Input BoM- Manufacturing'!L16</f>
        <v>4-Non-ferrous</v>
      </c>
      <c r="G26" s="169"/>
      <c r="H26" s="62" t="str">
        <f t="shared" si="0"/>
        <v/>
      </c>
      <c r="I26" s="33"/>
      <c r="J26" s="31" t="str">
        <f t="shared" si="1"/>
        <v/>
      </c>
      <c r="K26" s="31"/>
      <c r="L26" s="36"/>
      <c r="M26" s="35"/>
      <c r="N26" s="39"/>
      <c r="O26" s="31" t="s">
        <v>491</v>
      </c>
      <c r="P26" s="31" t="s">
        <v>492</v>
      </c>
    </row>
    <row r="27" spans="2:16" customFormat="1" ht="14.5">
      <c r="B27" s="31" t="str">
        <f>'Input BoM- Manufacturing'!H17</f>
        <v>Cable sheath (PVC)</v>
      </c>
      <c r="C27" s="61">
        <f>'Input BoM- Manufacturing'!I17</f>
        <v>0.3</v>
      </c>
      <c r="D27" s="208" t="str">
        <f>'Input BoM- Manufacturing'!J17</f>
        <v>kg</v>
      </c>
      <c r="E27" s="59">
        <f>'Input BoM- Manufacturing'!K17</f>
        <v>4.3944776064745302E-3</v>
      </c>
      <c r="F27" s="208" t="str">
        <f>'Input BoM- Manufacturing'!L17</f>
        <v>1-BlkPlastics</v>
      </c>
      <c r="G27" s="169"/>
      <c r="H27" s="62" t="str">
        <f t="shared" si="0"/>
        <v/>
      </c>
      <c r="I27" s="33"/>
      <c r="J27" s="31" t="str">
        <f t="shared" si="1"/>
        <v/>
      </c>
      <c r="K27" s="31"/>
      <c r="L27" s="36"/>
      <c r="M27" s="35"/>
      <c r="N27" s="39"/>
      <c r="O27" s="31" t="s">
        <v>483</v>
      </c>
      <c r="P27" s="31" t="s">
        <v>484</v>
      </c>
    </row>
    <row r="28" spans="2:16" customFormat="1" ht="14.5">
      <c r="B28" s="31" t="str">
        <f>'Input BoM- Manufacturing'!H18</f>
        <v>Cable sheath (silicone, EDPM)</v>
      </c>
      <c r="C28" s="61">
        <f>'Input BoM- Manufacturing'!I18</f>
        <v>0.15</v>
      </c>
      <c r="D28" s="208" t="str">
        <f>'Input BoM- Manufacturing'!J18</f>
        <v>kg</v>
      </c>
      <c r="E28" s="59">
        <f>'Input BoM- Manufacturing'!K18</f>
        <v>2.1972388032372651E-3</v>
      </c>
      <c r="F28" s="208" t="str">
        <f>'Input BoM- Manufacturing'!L18</f>
        <v>1-BlkPlastics</v>
      </c>
      <c r="G28" s="169"/>
      <c r="H28" s="62" t="str">
        <f t="shared" si="0"/>
        <v/>
      </c>
      <c r="I28" s="33"/>
      <c r="J28" s="31" t="str">
        <f t="shared" si="1"/>
        <v/>
      </c>
      <c r="K28" s="31"/>
      <c r="L28" s="36"/>
      <c r="M28" s="35"/>
      <c r="N28" s="39"/>
      <c r="O28" s="31" t="s">
        <v>485</v>
      </c>
      <c r="P28" s="31" t="s">
        <v>486</v>
      </c>
    </row>
    <row r="29" spans="2:16" customFormat="1" ht="14.5">
      <c r="B29" s="31" t="str">
        <f>'Input BoM- Manufacturing'!H20</f>
        <v>Gaskets (EDPM)</v>
      </c>
      <c r="C29" s="61">
        <f>'Input BoM- Manufacturing'!I20</f>
        <v>2.67</v>
      </c>
      <c r="D29" s="208" t="str">
        <f>'Input BoM- Manufacturing'!J20</f>
        <v>kg</v>
      </c>
      <c r="E29" s="59">
        <f>'Input BoM- Manufacturing'!K20</f>
        <v>3.9110850697623323E-2</v>
      </c>
      <c r="F29" s="208" t="str">
        <f>'Input BoM- Manufacturing'!L20</f>
        <v>1-BlkPlastics</v>
      </c>
      <c r="G29" s="169"/>
      <c r="H29" s="62" t="str">
        <f>IF(G29="Yes", "Default","")</f>
        <v/>
      </c>
      <c r="I29" s="33"/>
      <c r="J29" s="31" t="str">
        <f>IF(I29="Stakeholder input","High quality",IF(I29="Previous study","Medium quality",IF(I29="Literature","Medium quality",IF(I29="Googling","Fair quality",IF(I29="Scientific literature","High quality",IF(I29="Expert judgement","Medium quality",""))))))</f>
        <v/>
      </c>
      <c r="K29" s="31"/>
      <c r="L29" s="36"/>
      <c r="M29" s="35"/>
      <c r="N29" s="39"/>
      <c r="O29" s="31" t="s">
        <v>485</v>
      </c>
      <c r="P29" s="31" t="s">
        <v>486</v>
      </c>
    </row>
    <row r="30" spans="2:16" customFormat="1" ht="14.5">
      <c r="B30" s="31" t="str">
        <f>'Input BoM- Manufacturing'!H19</f>
        <v>Electronics (control)</v>
      </c>
      <c r="C30" s="61">
        <f>'Input BoM- Manufacturing'!I19/3.08</f>
        <v>1.2662337662337662</v>
      </c>
      <c r="D30" s="208" t="s">
        <v>493</v>
      </c>
      <c r="E30" s="59">
        <f>'Input BoM- Manufacturing'!K19</f>
        <v>5.7128208884168898E-2</v>
      </c>
      <c r="F30" s="208" t="str">
        <f>'Input BoM- Manufacturing'!L19</f>
        <v>6-Electronics</v>
      </c>
      <c r="G30" s="169"/>
      <c r="H30" s="62" t="str">
        <f t="shared" si="0"/>
        <v/>
      </c>
      <c r="I30" s="33"/>
      <c r="J30" s="31" t="str">
        <f t="shared" si="1"/>
        <v/>
      </c>
      <c r="K30" s="31"/>
      <c r="L30" s="36"/>
      <c r="M30" s="35"/>
      <c r="N30" s="39"/>
      <c r="O30" s="31" t="s">
        <v>494</v>
      </c>
      <c r="P30" s="31" t="s">
        <v>495</v>
      </c>
    </row>
    <row r="31" spans="2:16" customFormat="1" ht="14.5">
      <c r="B31" s="31">
        <f>'Input BoM- Manufacturing'!H21</f>
        <v>0</v>
      </c>
      <c r="C31" s="61">
        <f>'Input BoM- Manufacturing'!I21</f>
        <v>0</v>
      </c>
      <c r="D31" s="208">
        <f>'Input BoM- Manufacturing'!J21</f>
        <v>0</v>
      </c>
      <c r="E31" s="59">
        <f>'Input BoM- Manufacturing'!K21</f>
        <v>0</v>
      </c>
      <c r="F31" s="208">
        <f>'Input BoM- Manufacturing'!L21</f>
        <v>0</v>
      </c>
      <c r="G31" s="169"/>
      <c r="H31" s="62" t="str">
        <f t="shared" si="0"/>
        <v/>
      </c>
      <c r="I31" s="33"/>
      <c r="J31" s="31" t="str">
        <f t="shared" si="1"/>
        <v/>
      </c>
      <c r="K31" s="31"/>
      <c r="L31" s="36"/>
      <c r="M31" s="35"/>
      <c r="N31" s="39"/>
      <c r="O31" s="31"/>
      <c r="P31" s="31"/>
    </row>
    <row r="32" spans="2:16" customFormat="1" ht="14.5">
      <c r="B32" s="31">
        <f>'Input BoM- Manufacturing'!H22</f>
        <v>0</v>
      </c>
      <c r="C32" s="61">
        <f>'Input BoM- Manufacturing'!I22</f>
        <v>0</v>
      </c>
      <c r="D32" s="208">
        <f>'Input BoM- Manufacturing'!J22</f>
        <v>0</v>
      </c>
      <c r="E32" s="59">
        <f>'Input BoM- Manufacturing'!K22</f>
        <v>0</v>
      </c>
      <c r="F32" s="208">
        <f>'Input BoM- Manufacturing'!L22</f>
        <v>0</v>
      </c>
      <c r="G32" s="169"/>
      <c r="H32" s="62" t="str">
        <f t="shared" si="0"/>
        <v/>
      </c>
      <c r="I32" s="33"/>
      <c r="J32" s="31" t="str">
        <f t="shared" si="1"/>
        <v/>
      </c>
      <c r="K32" s="31"/>
      <c r="L32" s="36"/>
      <c r="M32" s="35"/>
      <c r="N32" s="39"/>
      <c r="O32" s="31"/>
      <c r="P32" s="31"/>
    </row>
    <row r="33" spans="2:16" customFormat="1" ht="14.5">
      <c r="B33" s="31">
        <f>'Input BoM- Manufacturing'!H23</f>
        <v>0</v>
      </c>
      <c r="C33" s="61">
        <f>'Input BoM- Manufacturing'!I23</f>
        <v>0</v>
      </c>
      <c r="D33" s="208">
        <f>'Input BoM- Manufacturing'!J23</f>
        <v>0</v>
      </c>
      <c r="E33" s="59">
        <f>'Input BoM- Manufacturing'!K23</f>
        <v>0</v>
      </c>
      <c r="F33" s="208">
        <f>'Input BoM- Manufacturing'!L23</f>
        <v>0</v>
      </c>
      <c r="G33" s="169"/>
      <c r="H33" s="62" t="str">
        <f t="shared" si="0"/>
        <v/>
      </c>
      <c r="I33" s="33"/>
      <c r="J33" s="31" t="str">
        <f t="shared" si="1"/>
        <v/>
      </c>
      <c r="K33" s="31"/>
      <c r="L33" s="36"/>
      <c r="M33" s="35"/>
      <c r="N33" s="39"/>
      <c r="O33" s="31"/>
      <c r="P33" s="31"/>
    </row>
    <row r="34" spans="2:16" customFormat="1" ht="14.5">
      <c r="B34" s="31">
        <f>'Input BoM- Manufacturing'!H24</f>
        <v>0</v>
      </c>
      <c r="C34" s="61">
        <f>'Input BoM- Manufacturing'!I24</f>
        <v>0</v>
      </c>
      <c r="D34" s="208">
        <f>'Input BoM- Manufacturing'!J24</f>
        <v>0</v>
      </c>
      <c r="E34" s="59">
        <f>'Input BoM- Manufacturing'!K24</f>
        <v>0</v>
      </c>
      <c r="F34" s="208">
        <f>'Input BoM- Manufacturing'!L24</f>
        <v>0</v>
      </c>
      <c r="G34" s="169"/>
      <c r="H34" s="62" t="str">
        <f t="shared" si="0"/>
        <v/>
      </c>
      <c r="I34" s="33"/>
      <c r="J34" s="31" t="str">
        <f t="shared" si="1"/>
        <v/>
      </c>
      <c r="K34" s="31"/>
      <c r="L34" s="36"/>
      <c r="M34" s="35"/>
      <c r="N34" s="39"/>
      <c r="O34" s="31"/>
      <c r="P34" s="31"/>
    </row>
    <row r="35" spans="2:16" customFormat="1" ht="14.5">
      <c r="B35" s="31">
        <f>'Input BoM- Manufacturing'!H25</f>
        <v>0</v>
      </c>
      <c r="C35" s="61">
        <f>'Input BoM- Manufacturing'!I25</f>
        <v>0</v>
      </c>
      <c r="D35" s="208">
        <f>'Input BoM- Manufacturing'!J25</f>
        <v>0</v>
      </c>
      <c r="E35" s="59">
        <f>'Input BoM- Manufacturing'!K25</f>
        <v>0</v>
      </c>
      <c r="F35" s="208">
        <f>'Input BoM- Manufacturing'!L25</f>
        <v>0</v>
      </c>
      <c r="G35" s="169"/>
      <c r="H35" s="62" t="str">
        <f t="shared" si="0"/>
        <v/>
      </c>
      <c r="I35" s="33"/>
      <c r="J35" s="31" t="str">
        <f t="shared" si="1"/>
        <v/>
      </c>
      <c r="K35" s="31"/>
      <c r="L35" s="36"/>
      <c r="M35" s="35"/>
      <c r="N35" s="39"/>
      <c r="O35" s="31"/>
      <c r="P35" s="31"/>
    </row>
    <row r="36" spans="2:16" customFormat="1" ht="14.5">
      <c r="B36" s="31">
        <f>'Input BoM- Manufacturing'!H26</f>
        <v>0</v>
      </c>
      <c r="C36" s="61">
        <f>'Input BoM- Manufacturing'!I26</f>
        <v>0</v>
      </c>
      <c r="D36" s="208">
        <f>'Input BoM- Manufacturing'!J26</f>
        <v>0</v>
      </c>
      <c r="E36" s="59">
        <f>'Input BoM- Manufacturing'!K26</f>
        <v>0</v>
      </c>
      <c r="F36" s="208">
        <f>'Input BoM- Manufacturing'!L26</f>
        <v>0</v>
      </c>
      <c r="G36" s="169"/>
      <c r="H36" s="62" t="str">
        <f t="shared" si="0"/>
        <v/>
      </c>
      <c r="I36" s="33"/>
      <c r="J36" s="31" t="str">
        <f t="shared" si="1"/>
        <v/>
      </c>
      <c r="K36" s="31"/>
      <c r="L36" s="36"/>
      <c r="M36" s="35"/>
      <c r="N36" s="39"/>
      <c r="O36" s="31"/>
      <c r="P36" s="31"/>
    </row>
    <row r="37" spans="2:16" customFormat="1" ht="14.5">
      <c r="B37" s="31">
        <f>'Input BoM- Manufacturing'!H27</f>
        <v>0</v>
      </c>
      <c r="C37" s="61">
        <f>'Input BoM- Manufacturing'!I27</f>
        <v>0</v>
      </c>
      <c r="D37" s="208">
        <f>'Input BoM- Manufacturing'!J27</f>
        <v>0</v>
      </c>
      <c r="E37" s="59">
        <f>'Input BoM- Manufacturing'!K27</f>
        <v>0</v>
      </c>
      <c r="F37" s="208">
        <f>'Input BoM- Manufacturing'!L27</f>
        <v>0</v>
      </c>
      <c r="G37" s="169"/>
      <c r="H37" s="62" t="str">
        <f t="shared" si="0"/>
        <v/>
      </c>
      <c r="I37" s="33"/>
      <c r="J37" s="31" t="str">
        <f t="shared" si="1"/>
        <v/>
      </c>
      <c r="K37" s="63"/>
      <c r="L37" s="36"/>
      <c r="M37" s="35"/>
      <c r="N37" s="39"/>
      <c r="O37" s="31"/>
      <c r="P37" s="31"/>
    </row>
    <row r="38" spans="2:16" customFormat="1" ht="14.5">
      <c r="B38" s="31">
        <f>'Input BoM- Manufacturing'!H28</f>
        <v>0</v>
      </c>
      <c r="C38" s="61">
        <f>'Input BoM- Manufacturing'!I28</f>
        <v>0</v>
      </c>
      <c r="D38" s="208">
        <f>'Input BoM- Manufacturing'!J28</f>
        <v>0</v>
      </c>
      <c r="E38" s="59">
        <f>'Input BoM- Manufacturing'!K28</f>
        <v>0</v>
      </c>
      <c r="F38" s="208">
        <f>'Input BoM- Manufacturing'!L28</f>
        <v>0</v>
      </c>
      <c r="G38" s="169"/>
      <c r="H38" s="62" t="str">
        <f t="shared" si="0"/>
        <v/>
      </c>
      <c r="I38" s="33"/>
      <c r="J38" s="31" t="str">
        <f t="shared" si="1"/>
        <v/>
      </c>
      <c r="K38" s="31"/>
      <c r="L38" s="36"/>
      <c r="M38" s="35"/>
      <c r="N38" s="39"/>
      <c r="O38" s="31"/>
      <c r="P38" s="31"/>
    </row>
    <row r="39" spans="2:16" customFormat="1" ht="14.5">
      <c r="B39" s="31">
        <f>'Input BoM- Manufacturing'!H29</f>
        <v>0</v>
      </c>
      <c r="C39" s="61">
        <f>'Input BoM- Manufacturing'!I29</f>
        <v>0</v>
      </c>
      <c r="D39" s="208">
        <f>'Input BoM- Manufacturing'!J29</f>
        <v>0</v>
      </c>
      <c r="E39" s="59">
        <f>'Input BoM- Manufacturing'!K29</f>
        <v>0</v>
      </c>
      <c r="F39" s="208">
        <f>'Input BoM- Manufacturing'!L29</f>
        <v>0</v>
      </c>
      <c r="G39" s="170"/>
      <c r="H39" s="62"/>
      <c r="I39" s="33"/>
      <c r="J39" s="31"/>
      <c r="K39" s="31"/>
      <c r="L39" s="31"/>
      <c r="M39" s="64"/>
      <c r="N39" s="65"/>
      <c r="O39" s="31"/>
      <c r="P39" s="31"/>
    </row>
    <row r="40" spans="2:16" customFormat="1" ht="14.5">
      <c r="B40" s="31">
        <f>'Input BoM- Manufacturing'!H30</f>
        <v>0</v>
      </c>
      <c r="C40" s="61">
        <f>'Input BoM- Manufacturing'!I30</f>
        <v>0</v>
      </c>
      <c r="D40" s="208">
        <f>'Input BoM- Manufacturing'!J30</f>
        <v>0</v>
      </c>
      <c r="E40" s="59">
        <f>'Input BoM- Manufacturing'!K30</f>
        <v>0</v>
      </c>
      <c r="F40" s="208">
        <f>'Input BoM- Manufacturing'!L30</f>
        <v>0</v>
      </c>
      <c r="G40" s="170"/>
      <c r="H40" s="62" t="str">
        <f t="shared" si="0"/>
        <v/>
      </c>
      <c r="I40" s="33"/>
      <c r="J40" s="31" t="str">
        <f t="shared" ref="J40:J41" si="2">IF(I40="Stakeholder input", "High quality",IF(I40="Previous study", "Medium quality", IF(I40="Literature","Low quality",IF(I40="Googling","Low quality",""))))</f>
        <v/>
      </c>
      <c r="K40" s="22"/>
      <c r="L40" s="22"/>
      <c r="M40" s="66"/>
      <c r="N40" s="67"/>
      <c r="O40" s="31"/>
      <c r="P40" s="31"/>
    </row>
    <row r="41" spans="2:16" customFormat="1" ht="15" thickBot="1">
      <c r="B41" s="68">
        <f>'Input BoM- Manufacturing'!H31</f>
        <v>0</v>
      </c>
      <c r="C41" s="69">
        <f>'Input BoM- Manufacturing'!I31</f>
        <v>0</v>
      </c>
      <c r="D41" s="209">
        <f>'Input BoM- Manufacturing'!J31</f>
        <v>0</v>
      </c>
      <c r="E41" s="59">
        <f>'Input BoM- Manufacturing'!K31</f>
        <v>0</v>
      </c>
      <c r="F41" s="209">
        <f>'Input BoM- Manufacturing'!L31</f>
        <v>0</v>
      </c>
      <c r="G41" s="168"/>
      <c r="H41" s="70" t="str">
        <f>IF(G41="Yes", "Default","")</f>
        <v/>
      </c>
      <c r="I41" s="48"/>
      <c r="J41" s="68" t="str">
        <f t="shared" si="2"/>
        <v/>
      </c>
      <c r="K41" s="71"/>
      <c r="L41" s="71"/>
      <c r="M41" s="72"/>
      <c r="N41" s="73"/>
      <c r="O41" s="68"/>
      <c r="P41" s="68"/>
    </row>
    <row r="42" spans="2:16" customFormat="1" ht="14.5" thickBot="1">
      <c r="B42" s="74" t="s">
        <v>353</v>
      </c>
      <c r="C42" s="75">
        <f>SUM(C17:C29)+(C30*3.08)</f>
        <v>68.267499999999998</v>
      </c>
      <c r="D42" s="211" t="s">
        <v>309</v>
      </c>
      <c r="E42" s="76">
        <f>SUM(E17:E41)</f>
        <v>1</v>
      </c>
      <c r="F42" s="76"/>
      <c r="G42" s="171"/>
      <c r="H42" s="76"/>
      <c r="I42" s="76"/>
      <c r="J42" s="76"/>
      <c r="K42" s="76"/>
      <c r="L42" s="76"/>
      <c r="M42" s="76"/>
      <c r="N42" s="76"/>
      <c r="O42" s="76"/>
      <c r="P42" s="76"/>
    </row>
    <row r="43" spans="2:16" customFormat="1">
      <c r="B43" s="5"/>
      <c r="C43" s="7"/>
      <c r="D43" s="8"/>
      <c r="E43" s="8"/>
      <c r="F43" s="8"/>
      <c r="G43" s="172"/>
      <c r="H43" s="5"/>
      <c r="I43" s="4"/>
      <c r="J43" s="4"/>
      <c r="K43" s="5"/>
      <c r="L43" s="5"/>
      <c r="M43" s="5"/>
      <c r="N43" s="5"/>
      <c r="O43" s="4"/>
    </row>
    <row r="44" spans="2:16" customFormat="1" ht="15" thickBot="1">
      <c r="B44" s="13" t="s">
        <v>601</v>
      </c>
      <c r="C44" s="8"/>
      <c r="D44" s="79" t="s">
        <v>454</v>
      </c>
      <c r="E44" s="8"/>
      <c r="F44" s="8"/>
      <c r="G44" s="172"/>
      <c r="H44" s="5"/>
      <c r="I44" s="4"/>
      <c r="J44" s="4"/>
      <c r="K44" s="5"/>
      <c r="L44" s="5"/>
      <c r="M44" s="5"/>
      <c r="N44" s="5"/>
      <c r="O44" s="4"/>
    </row>
    <row r="45" spans="2:16" customFormat="1" ht="28.5" thickBot="1">
      <c r="B45" s="57" t="s">
        <v>355</v>
      </c>
      <c r="C45" s="57" t="s">
        <v>305</v>
      </c>
      <c r="D45" s="57" t="s">
        <v>7</v>
      </c>
      <c r="E45" s="57" t="s">
        <v>306</v>
      </c>
      <c r="F45" s="57" t="s">
        <v>307</v>
      </c>
      <c r="G45" s="58" t="s">
        <v>456</v>
      </c>
      <c r="H45" s="58" t="s">
        <v>457</v>
      </c>
      <c r="I45" s="57" t="s">
        <v>458</v>
      </c>
      <c r="J45" s="57" t="s">
        <v>459</v>
      </c>
      <c r="K45" s="57" t="s">
        <v>460</v>
      </c>
      <c r="L45" s="57" t="s">
        <v>461</v>
      </c>
      <c r="M45" s="17" t="s">
        <v>462</v>
      </c>
      <c r="N45" s="40" t="s">
        <v>463</v>
      </c>
      <c r="O45" s="57" t="s">
        <v>464</v>
      </c>
      <c r="P45" s="57" t="s">
        <v>465</v>
      </c>
    </row>
    <row r="46" spans="2:16" customFormat="1">
      <c r="B46" s="206" t="str">
        <f>'Input BoM- Manufacturing'!H36</f>
        <v>EPS</v>
      </c>
      <c r="C46" s="202">
        <f>'Input BoM- Manufacturing'!I36</f>
        <v>0.81</v>
      </c>
      <c r="D46" s="203" t="str">
        <f>'Input BoM- Manufacturing'!J36</f>
        <v>kg</v>
      </c>
      <c r="E46" s="210">
        <f>'Input BoM- Manufacturing'!K36</f>
        <v>5.5049612613837166E-2</v>
      </c>
      <c r="F46" s="203" t="str">
        <f>'Input BoM- Manufacturing'!L36</f>
        <v>1-BlkPlastics</v>
      </c>
      <c r="G46" s="169" t="s">
        <v>466</v>
      </c>
      <c r="H46" s="62" t="str">
        <f t="shared" ref="H46:H55" si="3">IF(G46="Yes", "Default","")</f>
        <v>Default</v>
      </c>
      <c r="I46" s="32" t="s">
        <v>467</v>
      </c>
      <c r="J46" s="31" t="str">
        <f>IF(I46="Stakeholder input","High quality",IF(I46="Previous study","Medium quality",IF(I46="Literature","Medium quality",IF(I46="Googling","Fair quality",IF(I46="Scientific literature","High quality",IF(I46="Expert judgement","Medium quality",""))))))</f>
        <v>Medium quality</v>
      </c>
      <c r="K46" s="22"/>
      <c r="L46" s="31" t="s">
        <v>496</v>
      </c>
      <c r="M46" s="35"/>
      <c r="N46" s="39"/>
      <c r="O46" s="31" t="s">
        <v>479</v>
      </c>
      <c r="P46" s="31" t="s">
        <v>480</v>
      </c>
    </row>
    <row r="47" spans="2:16" customFormat="1">
      <c r="B47" s="206" t="str">
        <f>'Input BoM- Manufacturing'!H37</f>
        <v>PE-Foil</v>
      </c>
      <c r="C47" s="202">
        <f>'Input BoM- Manufacturing'!I37</f>
        <v>0.25</v>
      </c>
      <c r="D47" s="203" t="str">
        <f>'Input BoM- Manufacturing'!J37</f>
        <v>kg</v>
      </c>
      <c r="E47" s="210">
        <f>'Input BoM- Manufacturing'!K37</f>
        <v>1.6990621177110234E-2</v>
      </c>
      <c r="F47" s="203" t="str">
        <f>'Input BoM- Manufacturing'!L37</f>
        <v>1-BlkPlastics</v>
      </c>
      <c r="G47" s="169"/>
      <c r="H47" s="62" t="str">
        <f t="shared" si="3"/>
        <v/>
      </c>
      <c r="I47" s="32"/>
      <c r="J47" s="31" t="str">
        <f t="shared" ref="J47:J48" si="4">IF(I47="Stakeholder input","High quality",IF(I47="Previous study","Medium quality",IF(I47="Literature","Medium quality",IF(I47="Googling","Fair quality",IF(I47="Scientific literature","High quality",IF(I47="Expert judgement","Medium quality",""))))))</f>
        <v/>
      </c>
      <c r="K47" s="22"/>
      <c r="L47" s="31"/>
      <c r="M47" s="35"/>
      <c r="N47" s="39"/>
      <c r="O47" s="31" t="s">
        <v>487</v>
      </c>
      <c r="P47" s="31" t="s">
        <v>488</v>
      </c>
    </row>
    <row r="48" spans="2:16" customFormat="1">
      <c r="B48" s="206" t="str">
        <f>'Input BoM- Manufacturing'!H38</f>
        <v>PP (pastic strips)</v>
      </c>
      <c r="C48" s="202">
        <f>'Input BoM- Manufacturing'!I38</f>
        <v>0.65400000000000003</v>
      </c>
      <c r="D48" s="203" t="str">
        <f>'Input BoM- Manufacturing'!J38</f>
        <v>kg</v>
      </c>
      <c r="E48" s="210">
        <f>'Input BoM- Manufacturing'!K38</f>
        <v>4.4447464999320375E-2</v>
      </c>
      <c r="F48" s="203" t="str">
        <f>'Input BoM- Manufacturing'!L38</f>
        <v>1-BlkPlastics</v>
      </c>
      <c r="G48" s="169"/>
      <c r="H48" s="62" t="str">
        <f t="shared" si="3"/>
        <v/>
      </c>
      <c r="I48" s="32"/>
      <c r="J48" s="31" t="str">
        <f t="shared" si="4"/>
        <v/>
      </c>
      <c r="K48" s="173"/>
      <c r="L48" s="31"/>
      <c r="M48" s="35"/>
      <c r="N48" s="39"/>
      <c r="O48" s="31" t="s">
        <v>470</v>
      </c>
      <c r="P48" s="31" t="s">
        <v>471</v>
      </c>
    </row>
    <row r="49" spans="2:16" customFormat="1">
      <c r="B49" s="206" t="str">
        <f>'Input BoM- Manufacturing'!H39</f>
        <v>PET</v>
      </c>
      <c r="C49" s="202">
        <f>'Input BoM- Manufacturing'!I39</f>
        <v>0.375</v>
      </c>
      <c r="D49" s="203" t="str">
        <f>'Input BoM- Manufacturing'!J39</f>
        <v>kg</v>
      </c>
      <c r="E49" s="210">
        <f>'Input BoM- Manufacturing'!K39</f>
        <v>2.548593176566535E-2</v>
      </c>
      <c r="F49" s="203" t="str">
        <f>'Input BoM- Manufacturing'!L39</f>
        <v>1-BlkPlastics</v>
      </c>
      <c r="G49" s="169"/>
      <c r="H49" s="62" t="str">
        <f t="shared" si="3"/>
        <v/>
      </c>
      <c r="I49" s="175"/>
      <c r="J49" s="31" t="str">
        <f t="shared" ref="J49:J55" si="5">IF(I49="Stakeholder input", "High quality",IF(I49="Previous study", "Medium quality", IF(I49="Literature","Low quality",IF(I49="Googling","Low quality",""))))</f>
        <v/>
      </c>
      <c r="K49" s="173"/>
      <c r="L49" s="173"/>
      <c r="M49" s="35"/>
      <c r="N49" s="39"/>
      <c r="O49" s="31" t="s">
        <v>481</v>
      </c>
      <c r="P49" s="31" t="s">
        <v>482</v>
      </c>
    </row>
    <row r="50" spans="2:16" customFormat="1">
      <c r="B50" s="206" t="str">
        <f>'Input BoM- Manufacturing'!H40</f>
        <v>Wood</v>
      </c>
      <c r="C50" s="202">
        <f>'Input BoM- Manufacturing'!I40</f>
        <v>4.5</v>
      </c>
      <c r="D50" s="203" t="str">
        <f>'Input BoM- Manufacturing'!J40</f>
        <v>kg</v>
      </c>
      <c r="E50" s="210">
        <f>'Input BoM- Manufacturing'!K40</f>
        <v>0.30583118118798425</v>
      </c>
      <c r="F50" s="203" t="str">
        <f>'Input BoM- Manufacturing'!L40</f>
        <v>7-Misc.</v>
      </c>
      <c r="G50" s="169"/>
      <c r="H50" s="62" t="str">
        <f t="shared" si="3"/>
        <v/>
      </c>
      <c r="I50" s="175"/>
      <c r="J50" s="31" t="str">
        <f t="shared" si="5"/>
        <v/>
      </c>
      <c r="K50" s="31" t="s">
        <v>497</v>
      </c>
      <c r="L50" s="173"/>
      <c r="M50" s="35"/>
      <c r="N50" s="39"/>
      <c r="O50" s="31" t="s">
        <v>498</v>
      </c>
      <c r="P50" s="31" t="s">
        <v>480</v>
      </c>
    </row>
    <row r="51" spans="2:16" customFormat="1">
      <c r="B51" s="206" t="str">
        <f>'Input BoM- Manufacturing'!H41</f>
        <v>Cardboard</v>
      </c>
      <c r="C51" s="202">
        <f>'Input BoM- Manufacturing'!I41</f>
        <v>8.125</v>
      </c>
      <c r="D51" s="203" t="str">
        <f>'Input BoM- Manufacturing'!J41</f>
        <v>kg</v>
      </c>
      <c r="E51" s="210">
        <f>'Input BoM- Manufacturing'!K41</f>
        <v>0.5521951882560826</v>
      </c>
      <c r="F51" s="203" t="str">
        <f>'Input BoM- Manufacturing'!L41</f>
        <v>7-Misc.</v>
      </c>
      <c r="G51" s="169"/>
      <c r="H51" s="62" t="str">
        <f t="shared" si="3"/>
        <v/>
      </c>
      <c r="I51" s="175"/>
      <c r="J51" s="31" t="str">
        <f t="shared" si="5"/>
        <v/>
      </c>
      <c r="K51" s="31"/>
      <c r="L51" s="173"/>
      <c r="M51" s="35"/>
      <c r="N51" s="39"/>
      <c r="O51" s="31" t="s">
        <v>499</v>
      </c>
      <c r="P51" s="31" t="s">
        <v>500</v>
      </c>
    </row>
    <row r="52" spans="2:16" customFormat="1">
      <c r="B52" s="206" t="str">
        <f>'Input BoM- Manufacturing'!H42</f>
        <v>Cast iron</v>
      </c>
      <c r="C52" s="202">
        <f>'Input BoM- Manufacturing'!I42</f>
        <v>0</v>
      </c>
      <c r="D52" s="203" t="str">
        <f>'Input BoM- Manufacturing'!J42</f>
        <v>kg</v>
      </c>
      <c r="E52" s="210">
        <f>'Input BoM- Manufacturing'!K42</f>
        <v>0</v>
      </c>
      <c r="F52" s="203" t="str">
        <f>'Input BoM- Manufacturing'!L42</f>
        <v>3-Ferro</v>
      </c>
      <c r="G52" s="169"/>
      <c r="H52" s="62" t="str">
        <f t="shared" si="3"/>
        <v/>
      </c>
      <c r="I52" s="175"/>
      <c r="J52" s="31" t="str">
        <f t="shared" si="5"/>
        <v/>
      </c>
      <c r="K52" s="173"/>
      <c r="L52" s="173"/>
      <c r="M52" s="35"/>
      <c r="N52" s="39"/>
      <c r="O52" s="31"/>
      <c r="P52" s="31"/>
    </row>
    <row r="53" spans="2:16" customFormat="1">
      <c r="B53" s="206">
        <f>'Input BoM- Manufacturing'!H43</f>
        <v>0</v>
      </c>
      <c r="C53" s="202">
        <f>'Input BoM- Manufacturing'!I43</f>
        <v>0</v>
      </c>
      <c r="D53" s="203">
        <f>'Input BoM- Manufacturing'!J43</f>
        <v>0</v>
      </c>
      <c r="E53" s="210">
        <f>'Input BoM- Manufacturing'!K43</f>
        <v>0</v>
      </c>
      <c r="F53" s="203">
        <f>'Input BoM- Manufacturing'!L43</f>
        <v>0</v>
      </c>
      <c r="G53" s="169"/>
      <c r="H53" s="62" t="str">
        <f t="shared" si="3"/>
        <v/>
      </c>
      <c r="I53" s="33"/>
      <c r="J53" s="31" t="str">
        <f t="shared" si="5"/>
        <v/>
      </c>
      <c r="K53" s="31"/>
      <c r="L53" s="31"/>
      <c r="M53" s="35"/>
      <c r="N53" s="39"/>
      <c r="O53" s="31"/>
      <c r="P53" s="31"/>
    </row>
    <row r="54" spans="2:16" customFormat="1">
      <c r="B54" s="206">
        <f>'Input BoM- Manufacturing'!H44</f>
        <v>0</v>
      </c>
      <c r="C54" s="202">
        <f>'Input BoM- Manufacturing'!I44</f>
        <v>0</v>
      </c>
      <c r="D54" s="203">
        <f>'Input BoM- Manufacturing'!J44</f>
        <v>0</v>
      </c>
      <c r="E54" s="210">
        <f>'Input BoM- Manufacturing'!K44</f>
        <v>0</v>
      </c>
      <c r="F54" s="203">
        <f>'Input BoM- Manufacturing'!L44</f>
        <v>0</v>
      </c>
      <c r="G54" s="169"/>
      <c r="H54" s="62" t="str">
        <f t="shared" si="3"/>
        <v/>
      </c>
      <c r="I54" s="33"/>
      <c r="J54" s="31" t="str">
        <f t="shared" si="5"/>
        <v/>
      </c>
      <c r="K54" s="22"/>
      <c r="L54" s="22"/>
      <c r="M54" s="35"/>
      <c r="N54" s="39"/>
      <c r="O54" s="31"/>
      <c r="P54" s="31"/>
    </row>
    <row r="55" spans="2:16" customFormat="1" ht="14.5" thickBot="1">
      <c r="B55" s="207">
        <f>'Input BoM- Manufacturing'!H45</f>
        <v>0</v>
      </c>
      <c r="C55" s="204">
        <f>'Input BoM- Manufacturing'!I45</f>
        <v>0</v>
      </c>
      <c r="D55" s="205">
        <f>'Input BoM- Manufacturing'!J45</f>
        <v>0</v>
      </c>
      <c r="E55" s="210">
        <f>'Input BoM- Manufacturing'!K45</f>
        <v>0</v>
      </c>
      <c r="F55" s="205">
        <f>'Input BoM- Manufacturing'!L45</f>
        <v>0</v>
      </c>
      <c r="G55" s="176"/>
      <c r="H55" s="70" t="str">
        <f t="shared" si="3"/>
        <v/>
      </c>
      <c r="I55" s="48"/>
      <c r="J55" s="68" t="str">
        <f t="shared" si="5"/>
        <v/>
      </c>
      <c r="K55" s="68"/>
      <c r="L55" s="68"/>
      <c r="M55" s="49"/>
      <c r="N55" s="50"/>
      <c r="O55" s="68"/>
      <c r="P55" s="68"/>
    </row>
    <row r="56" spans="2:16" customFormat="1" ht="14.5" thickBot="1">
      <c r="B56" s="74" t="s">
        <v>363</v>
      </c>
      <c r="C56" s="174">
        <f>SUM(C46:C52)</f>
        <v>14.714</v>
      </c>
      <c r="D56" s="212" t="s">
        <v>309</v>
      </c>
      <c r="E56" s="76">
        <f>SUM(E46:E55)</f>
        <v>1</v>
      </c>
      <c r="F56" s="174"/>
      <c r="G56" s="132"/>
      <c r="H56" s="19"/>
      <c r="I56" s="96"/>
      <c r="J56" s="96"/>
      <c r="K56" s="19"/>
      <c r="L56" s="19"/>
      <c r="M56" s="19"/>
      <c r="N56" s="19"/>
      <c r="O56" s="96"/>
      <c r="P56" s="96"/>
    </row>
    <row r="57" spans="2:16" customFormat="1" ht="14.5" thickBot="1">
      <c r="G57" s="3"/>
    </row>
    <row r="58" spans="2:16" customFormat="1" ht="14.5" thickBot="1">
      <c r="B58" s="55" t="s">
        <v>364</v>
      </c>
      <c r="C58" s="56">
        <f>C42+C56</f>
        <v>82.981499999999997</v>
      </c>
      <c r="D58" s="77" t="s">
        <v>309</v>
      </c>
      <c r="G58" s="3"/>
    </row>
    <row r="59" spans="2:16" customFormat="1">
      <c r="G59" s="3"/>
    </row>
    <row r="61" spans="2:16" s="99" customFormat="1" ht="21">
      <c r="B61" s="54" t="s">
        <v>501</v>
      </c>
      <c r="C61" s="54"/>
      <c r="D61" s="54"/>
    </row>
    <row r="62" spans="2:16" ht="14.5" thickBot="1">
      <c r="B62" s="100"/>
    </row>
    <row r="63" spans="2:16" s="4" customFormat="1" ht="14.5" thickBot="1">
      <c r="B63" s="101" t="str">
        <f>'Input BoM- Manufacturing'!H55</f>
        <v>Energy used in manufacturing</v>
      </c>
      <c r="C63" s="18" t="str">
        <f>'Input BoM- Manufacturing'!I55</f>
        <v>Value</v>
      </c>
      <c r="D63" s="18" t="str">
        <f>'Input BoM- Manufacturing'!J55</f>
        <v>Unit</v>
      </c>
      <c r="E63" s="18" t="s">
        <v>458</v>
      </c>
      <c r="F63" s="18" t="s">
        <v>459</v>
      </c>
      <c r="G63" s="18" t="s">
        <v>502</v>
      </c>
      <c r="H63" s="18" t="s">
        <v>503</v>
      </c>
      <c r="I63" s="18" t="s">
        <v>461</v>
      </c>
      <c r="J63" s="17" t="s">
        <v>462</v>
      </c>
      <c r="K63" s="102" t="s">
        <v>463</v>
      </c>
    </row>
    <row r="64" spans="2:16">
      <c r="B64" s="78" t="str">
        <f>'Input BoM- Manufacturing'!H56</f>
        <v>Electricity</v>
      </c>
      <c r="C64" s="78">
        <f>'Input BoM- Manufacturing'!I56</f>
        <v>30</v>
      </c>
      <c r="D64" s="78" t="str">
        <f>'Input BoM- Manufacturing'!J56</f>
        <v>kWh</v>
      </c>
      <c r="E64" s="78"/>
      <c r="F64" s="78" t="str">
        <f>IF(E64="Stakeholder input","High quality",IF(E64="Previous study","Medium quality",IF(E64="Literature","Medium quality",IF(E64="Googling","Fair quality",IF(E64="Scientific literature","High quality",IF(E64="Expert judgement","Medium quality",""))))))</f>
        <v/>
      </c>
      <c r="G64" s="78"/>
      <c r="H64" s="78"/>
      <c r="I64" s="82"/>
      <c r="J64" s="103"/>
      <c r="K64" s="104"/>
    </row>
    <row r="65" spans="2:11" ht="14.5" thickBot="1">
      <c r="B65" s="21" t="str">
        <f>'Input BoM- Manufacturing'!H57</f>
        <v>Heat</v>
      </c>
      <c r="C65" s="159">
        <f>'Input BoM- Manufacturing'!I57</f>
        <v>0</v>
      </c>
      <c r="D65" s="21">
        <f>'Input BoM- Manufacturing'!J57</f>
        <v>0</v>
      </c>
      <c r="E65" s="21"/>
      <c r="F65" s="21"/>
      <c r="G65" s="21"/>
      <c r="H65" s="21"/>
      <c r="I65" s="38"/>
      <c r="J65" s="105"/>
      <c r="K65" s="106"/>
    </row>
    <row r="66" spans="2:11" ht="14.5" thickBot="1">
      <c r="B66" s="3">
        <f>'Input BoM- Manufacturing'!H58</f>
        <v>0</v>
      </c>
      <c r="C66" s="3">
        <f>'Input BoM- Manufacturing'!I58</f>
        <v>0</v>
      </c>
      <c r="D66" s="3">
        <f>'Input BoM- Manufacturing'!J58</f>
        <v>0</v>
      </c>
    </row>
    <row r="67" spans="2:11" s="4" customFormat="1" ht="14.5" thickBot="1">
      <c r="B67" s="101" t="str">
        <f>'Input BoM- Manufacturing'!H59</f>
        <v>Additional materials used in manufacturing</v>
      </c>
      <c r="C67" s="18" t="str">
        <f>'Input BoM- Manufacturing'!I59</f>
        <v>Value</v>
      </c>
      <c r="D67" s="18" t="str">
        <f>'Input BoM- Manufacturing'!J59</f>
        <v>Unit</v>
      </c>
      <c r="E67" s="18" t="s">
        <v>458</v>
      </c>
      <c r="F67" s="18" t="s">
        <v>459</v>
      </c>
      <c r="G67" s="18" t="s">
        <v>460</v>
      </c>
      <c r="H67" s="18" t="s">
        <v>503</v>
      </c>
      <c r="I67" s="18" t="s">
        <v>461</v>
      </c>
      <c r="J67" s="17" t="s">
        <v>462</v>
      </c>
      <c r="K67" s="102" t="s">
        <v>463</v>
      </c>
    </row>
    <row r="68" spans="2:11" ht="14.5">
      <c r="B68" s="107" t="str">
        <f>'Input BoM- Manufacturing'!H60</f>
        <v>n.a.</v>
      </c>
      <c r="C68" s="78">
        <f>'Input BoM- Manufacturing'!I60</f>
        <v>0</v>
      </c>
      <c r="D68" s="78">
        <f>'Input BoM- Manufacturing'!J60</f>
        <v>0</v>
      </c>
      <c r="E68" s="78"/>
      <c r="F68" s="78" t="str">
        <f>IF(E68="Stakeholder input", "High quality",IF(E68="Previous study", "Medium quality", IF(E68="Literature","Low quality",IF(E68="Googling","Low quality",""))))</f>
        <v/>
      </c>
      <c r="G68" s="78"/>
      <c r="H68" s="78"/>
      <c r="J68" s="103"/>
      <c r="K68" s="104"/>
    </row>
    <row r="69" spans="2:11">
      <c r="B69" s="22">
        <f>'Input BoM- Manufacturing'!H61</f>
        <v>0</v>
      </c>
      <c r="C69" s="22">
        <f>'Input BoM- Manufacturing'!I61</f>
        <v>0</v>
      </c>
      <c r="D69" s="22">
        <f>'Input BoM- Manufacturing'!J61</f>
        <v>0</v>
      </c>
      <c r="E69" s="22"/>
      <c r="F69" s="22"/>
      <c r="G69" s="22"/>
      <c r="H69" s="22"/>
      <c r="I69" s="22"/>
      <c r="J69" s="108"/>
      <c r="K69" s="109"/>
    </row>
    <row r="70" spans="2:11">
      <c r="B70" s="22">
        <f>'Input BoM- Manufacturing'!H62</f>
        <v>0</v>
      </c>
      <c r="C70" s="22">
        <f>'Input BoM- Manufacturing'!I62</f>
        <v>0</v>
      </c>
      <c r="D70" s="22">
        <f>'Input BoM- Manufacturing'!J62</f>
        <v>0</v>
      </c>
      <c r="E70" s="22"/>
      <c r="F70" s="22" t="str">
        <f>IF(E70="Stakeholder input", "High quality",IF(E70="Previous study", "Medium quality", IF(E70="Literature","Low quality",IF(E70="Googling","Low quality",""))))</f>
        <v/>
      </c>
      <c r="G70" s="22"/>
      <c r="H70" s="22"/>
      <c r="I70" s="22"/>
      <c r="J70" s="108"/>
      <c r="K70" s="109"/>
    </row>
    <row r="71" spans="2:11" ht="14.5" thickBot="1">
      <c r="B71" s="21">
        <f>'Input BoM- Manufacturing'!H63</f>
        <v>0</v>
      </c>
      <c r="C71" s="21">
        <f>'Input BoM- Manufacturing'!I63</f>
        <v>0</v>
      </c>
      <c r="D71" s="21">
        <f>'Input BoM- Manufacturing'!J63</f>
        <v>0</v>
      </c>
      <c r="E71" s="21"/>
      <c r="F71" s="21"/>
      <c r="G71" s="21"/>
      <c r="H71" s="21"/>
      <c r="I71" s="38"/>
      <c r="J71" s="105"/>
      <c r="K71" s="106"/>
    </row>
    <row r="72" spans="2:11" ht="14.5" thickBot="1">
      <c r="I72" s="147"/>
    </row>
    <row r="73" spans="2:11">
      <c r="B73" s="485" t="s">
        <v>505</v>
      </c>
      <c r="C73" s="486" t="s">
        <v>305</v>
      </c>
      <c r="D73" s="487" t="s">
        <v>7</v>
      </c>
      <c r="E73" s="487" t="s">
        <v>506</v>
      </c>
      <c r="F73" s="488" t="s">
        <v>507</v>
      </c>
      <c r="G73" s="487" t="s">
        <v>508</v>
      </c>
      <c r="H73" s="489" t="s">
        <v>509</v>
      </c>
      <c r="I73" s="147"/>
    </row>
    <row r="74" spans="2:11" ht="14.5" customHeight="1">
      <c r="B74" s="490" t="str">
        <f>B17</f>
        <v>Stainless steel</v>
      </c>
      <c r="C74" s="483">
        <f t="shared" ref="C74:D74" si="6">C17</f>
        <v>44.53</v>
      </c>
      <c r="D74" s="483" t="str">
        <f t="shared" si="6"/>
        <v>kg</v>
      </c>
      <c r="E74" s="687">
        <f>SUM(C74:C76)</f>
        <v>49.18</v>
      </c>
      <c r="F74" s="688" t="s">
        <v>510</v>
      </c>
      <c r="G74" s="689" t="s">
        <v>511</v>
      </c>
      <c r="H74" s="690" t="s">
        <v>512</v>
      </c>
      <c r="I74" s="147"/>
    </row>
    <row r="75" spans="2:11">
      <c r="B75" s="490" t="str">
        <f t="shared" ref="B75:D76" si="7">B22</f>
        <v>Pumps (stack of sheets)</v>
      </c>
      <c r="C75" s="483">
        <f t="shared" si="7"/>
        <v>2.4473684210526319</v>
      </c>
      <c r="D75" s="483" t="str">
        <f t="shared" si="7"/>
        <v>kg</v>
      </c>
      <c r="E75" s="688"/>
      <c r="F75" s="688"/>
      <c r="G75" s="689"/>
      <c r="H75" s="690"/>
      <c r="I75" s="147"/>
    </row>
    <row r="76" spans="2:11">
      <c r="B76" s="490" t="str">
        <f t="shared" si="7"/>
        <v>Pumps (stainless steel wave)</v>
      </c>
      <c r="C76" s="483">
        <f t="shared" si="7"/>
        <v>2.2026315789473685</v>
      </c>
      <c r="D76" s="483" t="str">
        <f t="shared" si="7"/>
        <v>kg</v>
      </c>
      <c r="E76" s="688"/>
      <c r="F76" s="688"/>
      <c r="G76" s="689"/>
      <c r="H76" s="690"/>
      <c r="I76" s="147"/>
    </row>
    <row r="77" spans="2:11">
      <c r="B77" s="490" t="str">
        <f t="shared" ref="B77:D77" si="8">B18</f>
        <v>Polypropylene (PP)</v>
      </c>
      <c r="C77" s="483">
        <f t="shared" si="8"/>
        <v>4.7324999999999999</v>
      </c>
      <c r="D77" s="483" t="str">
        <f t="shared" si="8"/>
        <v>kg</v>
      </c>
      <c r="E77" s="687">
        <f>SUM(C77:C82)</f>
        <v>8.9875000000000007</v>
      </c>
      <c r="F77" s="688" t="s">
        <v>513</v>
      </c>
      <c r="G77" s="484" t="s">
        <v>511</v>
      </c>
      <c r="H77" s="690" t="s">
        <v>514</v>
      </c>
      <c r="I77" s="147"/>
    </row>
    <row r="78" spans="2:11">
      <c r="B78" s="490" t="str">
        <f t="shared" ref="B78:D78" si="9">B19</f>
        <v>Polyamide (PA)</v>
      </c>
      <c r="C78" s="483">
        <f t="shared" si="9"/>
        <v>0.5</v>
      </c>
      <c r="D78" s="483" t="str">
        <f t="shared" si="9"/>
        <v>kg</v>
      </c>
      <c r="E78" s="688"/>
      <c r="F78" s="688"/>
      <c r="G78" s="689" t="s">
        <v>515</v>
      </c>
      <c r="H78" s="690"/>
      <c r="I78" s="147"/>
    </row>
    <row r="79" spans="2:11">
      <c r="B79" s="490" t="str">
        <f t="shared" ref="B79:D79" si="10">B20</f>
        <v>Acrylonitrile Butadiene Styrene (ABS)</v>
      </c>
      <c r="C79" s="483">
        <f t="shared" si="10"/>
        <v>0.63500000000000001</v>
      </c>
      <c r="D79" s="483" t="str">
        <f t="shared" si="10"/>
        <v>kg</v>
      </c>
      <c r="E79" s="688"/>
      <c r="F79" s="688"/>
      <c r="G79" s="689"/>
      <c r="H79" s="690"/>
      <c r="I79" s="147"/>
    </row>
    <row r="80" spans="2:11">
      <c r="B80" s="490" t="str">
        <f t="shared" ref="B80:D82" si="11">B27</f>
        <v>Cable sheath (PVC)</v>
      </c>
      <c r="C80" s="483">
        <f t="shared" si="11"/>
        <v>0.3</v>
      </c>
      <c r="D80" s="483" t="str">
        <f t="shared" si="11"/>
        <v>kg</v>
      </c>
      <c r="E80" s="688"/>
      <c r="F80" s="688"/>
      <c r="G80" s="689"/>
      <c r="H80" s="690"/>
      <c r="I80" s="147"/>
    </row>
    <row r="81" spans="2:11">
      <c r="B81" s="490" t="str">
        <f t="shared" si="11"/>
        <v>Cable sheath (silicone, EDPM)</v>
      </c>
      <c r="C81" s="483">
        <f t="shared" si="11"/>
        <v>0.15</v>
      </c>
      <c r="D81" s="483" t="str">
        <f t="shared" si="11"/>
        <v>kg</v>
      </c>
      <c r="E81" s="688"/>
      <c r="F81" s="688"/>
      <c r="G81" s="689"/>
      <c r="H81" s="690"/>
      <c r="I81" s="147"/>
    </row>
    <row r="82" spans="2:11">
      <c r="B82" s="490" t="str">
        <f t="shared" si="11"/>
        <v>Gaskets (EDPM)</v>
      </c>
      <c r="C82" s="483">
        <f t="shared" si="11"/>
        <v>2.67</v>
      </c>
      <c r="D82" s="483" t="str">
        <f t="shared" si="11"/>
        <v>kg</v>
      </c>
      <c r="E82" s="688"/>
      <c r="F82" s="688"/>
      <c r="G82" s="689"/>
      <c r="H82" s="690"/>
      <c r="I82" s="147"/>
    </row>
    <row r="83" spans="2:11">
      <c r="B83" s="490" t="str">
        <f t="shared" ref="B83:D83" si="12">B21</f>
        <v>Pumps (copper)</v>
      </c>
      <c r="C83" s="483">
        <f t="shared" si="12"/>
        <v>2.4473684210526319</v>
      </c>
      <c r="D83" s="483" t="str">
        <f t="shared" si="12"/>
        <v>kg</v>
      </c>
      <c r="E83" s="687">
        <f>SUM(C83:C84)</f>
        <v>3.647368421052632</v>
      </c>
      <c r="F83" s="688" t="s">
        <v>520</v>
      </c>
      <c r="G83" s="689" t="s">
        <v>511</v>
      </c>
      <c r="H83" s="690" t="s">
        <v>521</v>
      </c>
      <c r="I83" s="147"/>
    </row>
    <row r="84" spans="2:11">
      <c r="B84" s="490" t="str">
        <f>B26</f>
        <v>Cable (copper)</v>
      </c>
      <c r="C84" s="483">
        <f>C26</f>
        <v>1.2000000000000002</v>
      </c>
      <c r="D84" s="483" t="str">
        <f>D26</f>
        <v>kg</v>
      </c>
      <c r="E84" s="688"/>
      <c r="F84" s="688"/>
      <c r="G84" s="689"/>
      <c r="H84" s="690"/>
      <c r="I84" s="147"/>
    </row>
    <row r="85" spans="2:11">
      <c r="B85" s="490" t="str">
        <f t="shared" ref="B85:D85" si="13">B24</f>
        <v>Pumps (Al)</v>
      </c>
      <c r="C85" s="483">
        <f t="shared" si="13"/>
        <v>2.2026315789473685</v>
      </c>
      <c r="D85" s="483" t="str">
        <f t="shared" si="13"/>
        <v>kg</v>
      </c>
      <c r="E85" s="705">
        <f>SUM(C85:C86)</f>
        <v>2.5526315789473686</v>
      </c>
      <c r="F85" s="688" t="s">
        <v>518</v>
      </c>
      <c r="G85" s="689" t="s">
        <v>511</v>
      </c>
      <c r="H85" s="690" t="s">
        <v>519</v>
      </c>
      <c r="I85" s="147"/>
    </row>
    <row r="86" spans="2:11">
      <c r="B86" s="490" t="str">
        <f t="shared" ref="B86:D86" si="14">B25</f>
        <v xml:space="preserve">Aluminium </v>
      </c>
      <c r="C86" s="483">
        <f t="shared" si="14"/>
        <v>0.35</v>
      </c>
      <c r="D86" s="483" t="str">
        <f t="shared" si="14"/>
        <v>kg</v>
      </c>
      <c r="E86" s="706"/>
      <c r="F86" s="688"/>
      <c r="G86" s="689"/>
      <c r="H86" s="690"/>
      <c r="I86" s="147"/>
    </row>
    <row r="87" spans="2:11" ht="42.5" thickBot="1">
      <c r="B87" s="492" t="str">
        <f>B30</f>
        <v>Electronics (control)</v>
      </c>
      <c r="C87" s="493">
        <f>C30</f>
        <v>1.2662337662337662</v>
      </c>
      <c r="D87" s="493" t="str">
        <f>D30</f>
        <v>m2</v>
      </c>
      <c r="E87" s="493">
        <f>C87</f>
        <v>1.2662337662337662</v>
      </c>
      <c r="F87" s="494" t="s">
        <v>522</v>
      </c>
      <c r="G87" s="496" t="s">
        <v>603</v>
      </c>
      <c r="H87" s="497" t="s">
        <v>523</v>
      </c>
      <c r="I87" s="147"/>
    </row>
    <row r="88" spans="2:11">
      <c r="E88" s="495"/>
      <c r="I88" s="147"/>
    </row>
    <row r="90" spans="2:11" s="110" customFormat="1" ht="21">
      <c r="B90" s="52" t="s">
        <v>524</v>
      </c>
      <c r="D90" s="52"/>
      <c r="E90" s="52"/>
    </row>
    <row r="91" spans="2:11" s="4" customFormat="1" ht="21">
      <c r="B91" s="10"/>
      <c r="D91" s="10"/>
      <c r="E91" s="10"/>
    </row>
    <row r="92" spans="2:11" s="4" customFormat="1" ht="15" thickBot="1">
      <c r="B92" s="95" t="s">
        <v>373</v>
      </c>
      <c r="E92" s="13" t="s">
        <v>525</v>
      </c>
    </row>
    <row r="93" spans="2:11" s="4" customFormat="1" ht="16" customHeight="1" thickBot="1">
      <c r="B93" s="101" t="str">
        <f>'Input BoM- Manufacturing'!H70</f>
        <v>Transport - lorry</v>
      </c>
      <c r="C93" s="18" t="str">
        <f>'Input BoM- Manufacturing'!I70</f>
        <v>Value</v>
      </c>
      <c r="D93" s="18" t="str">
        <f>'Input BoM- Manufacturing'!J70</f>
        <v>Unit</v>
      </c>
      <c r="E93" s="18" t="s">
        <v>458</v>
      </c>
      <c r="F93" s="18" t="s">
        <v>459</v>
      </c>
      <c r="G93" s="18" t="s">
        <v>526</v>
      </c>
      <c r="H93" s="18" t="s">
        <v>503</v>
      </c>
      <c r="I93" s="18" t="s">
        <v>461</v>
      </c>
      <c r="J93" s="17" t="s">
        <v>462</v>
      </c>
      <c r="K93" s="102" t="s">
        <v>463</v>
      </c>
    </row>
    <row r="94" spans="2:11" s="4" customFormat="1" ht="14.5">
      <c r="B94" s="94" t="str">
        <f>'Input BoM- Manufacturing'!H71</f>
        <v>Weight of product (incl. packaging)</v>
      </c>
      <c r="C94" s="265">
        <f>'Input BoM- Manufacturing'!I71</f>
        <v>8.29815E-2</v>
      </c>
      <c r="D94" s="112" t="str">
        <f>'Input BoM- Manufacturing'!J71</f>
        <v>ton</v>
      </c>
      <c r="E94" s="47"/>
      <c r="F94" s="47" t="str">
        <f>IF(E94="Stakeholder input","High quality",IF(E94="Previous study","Medium quality",IF(E94="Literature","Medium quality",IF(E94="Googling","Fair quality",IF(E94="Scientific literature","High quality",IF(E94="Expert judgement","Medium quality",""))))))</f>
        <v/>
      </c>
      <c r="G94" s="60" t="s">
        <v>527</v>
      </c>
      <c r="H94" s="82"/>
      <c r="I94" s="82"/>
      <c r="J94" s="103"/>
      <c r="K94" s="104"/>
    </row>
    <row r="95" spans="2:11" s="4" customFormat="1" ht="42.5" thickBot="1">
      <c r="B95" s="93" t="str">
        <f>'Input BoM- Manufacturing'!H72</f>
        <v>Distance</v>
      </c>
      <c r="C95" s="113">
        <f>'Input BoM- Manufacturing'!I72</f>
        <v>1330</v>
      </c>
      <c r="D95" s="113" t="str">
        <f>'Input BoM- Manufacturing'!J72</f>
        <v>km</v>
      </c>
      <c r="E95" s="37"/>
      <c r="F95" s="37" t="str">
        <f t="shared" ref="F95" si="15">IF(E95="Stakeholder input","High quality",IF(E95="Previous study","Medium quality",IF(E95="Literature","Medium quality",IF(E95="Googling","Fair quality",IF(E95="Scientific literature","High quality",IF(E95="Expert judgement","Medium quality",""))))))</f>
        <v/>
      </c>
      <c r="G95" s="21" t="s">
        <v>529</v>
      </c>
      <c r="H95" s="21"/>
      <c r="I95" s="38"/>
      <c r="J95" s="105"/>
      <c r="K95" s="106"/>
    </row>
    <row r="96" spans="2:11" s="4" customFormat="1">
      <c r="B96" s="11"/>
      <c r="C96" s="114"/>
      <c r="D96" s="114"/>
      <c r="J96" s="115"/>
    </row>
    <row r="97" spans="2:12" s="4" customFormat="1" ht="14.5" thickBot="1">
      <c r="C97" s="114"/>
      <c r="D97" s="114"/>
    </row>
    <row r="98" spans="2:12" s="4" customFormat="1" ht="16" customHeight="1" thickBot="1">
      <c r="B98" s="101" t="str">
        <f>'Input BoM- Manufacturing'!H75</f>
        <v>Transport - train</v>
      </c>
      <c r="C98" s="18" t="str">
        <f>'Input BoM- Manufacturing'!I75</f>
        <v>Value</v>
      </c>
      <c r="D98" s="18" t="str">
        <f>'Input BoM- Manufacturing'!J75</f>
        <v>Unit</v>
      </c>
      <c r="E98" s="18" t="s">
        <v>458</v>
      </c>
      <c r="F98" s="18" t="s">
        <v>459</v>
      </c>
      <c r="G98" s="18" t="s">
        <v>526</v>
      </c>
      <c r="H98" s="18" t="s">
        <v>503</v>
      </c>
      <c r="I98" s="18" t="s">
        <v>461</v>
      </c>
      <c r="J98" s="17" t="s">
        <v>462</v>
      </c>
      <c r="K98" s="102" t="s">
        <v>463</v>
      </c>
    </row>
    <row r="99" spans="2:12" s="4" customFormat="1" ht="14.5">
      <c r="B99" s="94" t="str">
        <f>'Input BoM- Manufacturing'!H76</f>
        <v>Weight of product (incl. packaging)</v>
      </c>
      <c r="C99" s="266">
        <f>'Input BoM- Manufacturing'!I76</f>
        <v>8.29815E-2</v>
      </c>
      <c r="D99" s="112" t="str">
        <f>'Input BoM- Manufacturing'!J76</f>
        <v>ton</v>
      </c>
      <c r="E99" s="47"/>
      <c r="F99" s="47" t="str">
        <f>IF(E99="Stakeholder input","High quality",IF(E99="Previous study","Medium quality",IF(E99="Literature","Medium quality",IF(E99="Googling","Fair quality",IF(E99="Scientific literature","High quality",IF(E99="Expert judgement","Medium quality",""))))))</f>
        <v/>
      </c>
      <c r="G99" s="60" t="s">
        <v>527</v>
      </c>
      <c r="H99" s="82"/>
      <c r="I99" s="82"/>
      <c r="J99" s="103"/>
      <c r="K99" s="104"/>
    </row>
    <row r="100" spans="2:12" s="4" customFormat="1" ht="42.5" thickBot="1">
      <c r="B100" s="93" t="str">
        <f>'Input BoM- Manufacturing'!H77</f>
        <v>Distance</v>
      </c>
      <c r="C100" s="113">
        <f>'Input BoM- Manufacturing'!I77</f>
        <v>240</v>
      </c>
      <c r="D100" s="113" t="str">
        <f>'Input BoM- Manufacturing'!J77</f>
        <v>km</v>
      </c>
      <c r="E100" s="37"/>
      <c r="F100" s="37" t="str">
        <f t="shared" ref="F100" si="16">IF(E100="Stakeholder input","High quality",IF(E100="Previous study","Medium quality",IF(E100="Literature","Medium quality",IF(E100="Googling","Fair quality",IF(E100="Scientific literature","High quality",IF(E100="Expert judgement","Medium quality",""))))))</f>
        <v/>
      </c>
      <c r="G100" s="21" t="s">
        <v>531</v>
      </c>
      <c r="H100" s="21"/>
      <c r="I100" s="38"/>
      <c r="J100" s="105"/>
      <c r="K100" s="106"/>
      <c r="L100" s="12"/>
    </row>
    <row r="101" spans="2:12" s="4" customFormat="1">
      <c r="C101" s="114"/>
      <c r="D101" s="114"/>
    </row>
    <row r="102" spans="2:12" s="4" customFormat="1" ht="14.5" thickBot="1">
      <c r="C102" s="114"/>
      <c r="D102" s="114"/>
    </row>
    <row r="103" spans="2:12" s="4" customFormat="1" ht="16" customHeight="1" thickBot="1">
      <c r="B103" s="101" t="str">
        <f>'Input BoM- Manufacturing'!H80</f>
        <v>Transport - ship</v>
      </c>
      <c r="C103" s="18" t="str">
        <f>'Input BoM- Manufacturing'!I80</f>
        <v>Value</v>
      </c>
      <c r="D103" s="18" t="str">
        <f>'Input BoM- Manufacturing'!J80</f>
        <v>Unit</v>
      </c>
      <c r="E103" s="18" t="s">
        <v>458</v>
      </c>
      <c r="F103" s="18" t="s">
        <v>459</v>
      </c>
      <c r="G103" s="18" t="s">
        <v>526</v>
      </c>
      <c r="H103" s="18" t="s">
        <v>503</v>
      </c>
      <c r="I103" s="18" t="s">
        <v>461</v>
      </c>
      <c r="J103" s="17" t="s">
        <v>462</v>
      </c>
      <c r="K103" s="102" t="s">
        <v>463</v>
      </c>
    </row>
    <row r="104" spans="2:12" s="4" customFormat="1" ht="14.5">
      <c r="B104" s="94" t="str">
        <f>'Input BoM- Manufacturing'!H81</f>
        <v>Weight of product (incl. packaging)</v>
      </c>
      <c r="C104" s="266">
        <f>'Input BoM- Manufacturing'!I81</f>
        <v>8.29815E-2</v>
      </c>
      <c r="D104" s="112" t="str">
        <f>'Input BoM- Manufacturing'!J81</f>
        <v>ton</v>
      </c>
      <c r="E104" s="47"/>
      <c r="F104" s="47" t="str">
        <f>IF(E104="Stakeholder input","High quality",IF(E104="Previous study","Medium quality",IF(E104="Literature","Medium quality",IF(E104="Googling","Fair quality",IF(E104="Scientific literature","High quality",IF(E104="Expert judgement","Medium quality",""))))))</f>
        <v/>
      </c>
      <c r="G104" s="60" t="s">
        <v>527</v>
      </c>
      <c r="H104" s="82"/>
      <c r="I104" s="82"/>
      <c r="J104" s="103"/>
      <c r="K104" s="104"/>
    </row>
    <row r="105" spans="2:12" s="4" customFormat="1" ht="42.5" thickBot="1">
      <c r="B105" s="93" t="str">
        <f>'Input BoM- Manufacturing'!H82</f>
        <v>Distance</v>
      </c>
      <c r="C105" s="113">
        <f>'Input BoM- Manufacturing'!I82</f>
        <v>270</v>
      </c>
      <c r="D105" s="113" t="str">
        <f>'Input BoM- Manufacturing'!J82</f>
        <v>km</v>
      </c>
      <c r="E105" s="37"/>
      <c r="F105" s="37" t="str">
        <f t="shared" ref="F105" si="17">IF(E105="Stakeholder input","High quality",IF(E105="Previous study","Medium quality",IF(E105="Literature","Medium quality",IF(E105="Googling","Fair quality",IF(E105="Scientific literature","High quality",IF(E105="Expert judgement","Medium quality",""))))))</f>
        <v/>
      </c>
      <c r="G105" s="21" t="s">
        <v>532</v>
      </c>
      <c r="H105" s="21"/>
      <c r="I105" s="38"/>
      <c r="J105" s="105"/>
      <c r="K105" s="106"/>
      <c r="L105" s="12"/>
    </row>
    <row r="108" spans="2:12" ht="14.5" thickBot="1"/>
    <row r="109" spans="2:12" ht="14.5" thickBot="1">
      <c r="B109" s="116" t="s">
        <v>530</v>
      </c>
      <c r="C109" s="117" t="s">
        <v>377</v>
      </c>
      <c r="D109" s="117" t="s">
        <v>7</v>
      </c>
      <c r="E109" s="117" t="s">
        <v>533</v>
      </c>
      <c r="F109" s="118" t="s">
        <v>526</v>
      </c>
      <c r="G109" s="119"/>
    </row>
    <row r="110" spans="2:12" ht="14.5">
      <c r="B110" s="699" t="s">
        <v>534</v>
      </c>
      <c r="C110" s="30">
        <v>130</v>
      </c>
      <c r="D110" s="30" t="s">
        <v>378</v>
      </c>
      <c r="E110" s="30" t="s">
        <v>535</v>
      </c>
      <c r="F110" s="701" t="s">
        <v>536</v>
      </c>
      <c r="G110" s="702"/>
    </row>
    <row r="111" spans="2:12" ht="14.5">
      <c r="B111" s="700"/>
      <c r="C111" s="2">
        <v>240</v>
      </c>
      <c r="D111" s="2" t="s">
        <v>378</v>
      </c>
      <c r="E111" s="2" t="s">
        <v>537</v>
      </c>
      <c r="F111" s="703" t="s">
        <v>536</v>
      </c>
      <c r="G111" s="704"/>
    </row>
    <row r="112" spans="2:12" ht="14.5">
      <c r="B112" s="700"/>
      <c r="C112" s="2">
        <v>270</v>
      </c>
      <c r="D112" s="2" t="s">
        <v>378</v>
      </c>
      <c r="E112" s="2" t="s">
        <v>538</v>
      </c>
      <c r="F112" s="703" t="s">
        <v>536</v>
      </c>
      <c r="G112" s="704"/>
    </row>
    <row r="113" spans="2:11" ht="15" thickBot="1">
      <c r="B113" s="120" t="s">
        <v>539</v>
      </c>
      <c r="C113" s="92">
        <v>1200</v>
      </c>
      <c r="D113" s="92" t="s">
        <v>378</v>
      </c>
      <c r="E113" s="92" t="s">
        <v>535</v>
      </c>
      <c r="F113" s="691" t="s">
        <v>540</v>
      </c>
      <c r="G113" s="692"/>
    </row>
    <row r="116" spans="2:11" s="99" customFormat="1" ht="21">
      <c r="B116" s="54" t="s">
        <v>541</v>
      </c>
      <c r="D116" s="54"/>
      <c r="E116" s="54"/>
      <c r="F116" s="54"/>
      <c r="G116" s="54"/>
    </row>
    <row r="118" spans="2:11" ht="15" thickBot="1">
      <c r="E118" s="13" t="s">
        <v>525</v>
      </c>
    </row>
    <row r="119" spans="2:11" s="114" customFormat="1" ht="14.5" thickBot="1">
      <c r="B119" s="18" t="s">
        <v>382</v>
      </c>
      <c r="C119" s="18" t="s">
        <v>305</v>
      </c>
      <c r="D119" s="18" t="s">
        <v>7</v>
      </c>
      <c r="E119" s="18" t="s">
        <v>458</v>
      </c>
      <c r="F119" s="18" t="s">
        <v>459</v>
      </c>
      <c r="G119" s="18" t="s">
        <v>460</v>
      </c>
      <c r="H119" s="18" t="s">
        <v>503</v>
      </c>
      <c r="I119" s="18" t="s">
        <v>461</v>
      </c>
      <c r="J119" s="17" t="s">
        <v>462</v>
      </c>
      <c r="K119" s="102" t="s">
        <v>463</v>
      </c>
    </row>
    <row r="120" spans="2:11" s="114" customFormat="1" ht="14.5" thickBot="1">
      <c r="B120" s="121" t="s">
        <v>383</v>
      </c>
      <c r="C120" s="58"/>
      <c r="D120" s="58"/>
      <c r="E120" s="58"/>
      <c r="F120" s="58"/>
      <c r="G120" s="58"/>
      <c r="H120" s="58"/>
      <c r="I120" s="58"/>
      <c r="J120" s="58"/>
      <c r="K120" s="58"/>
    </row>
    <row r="121" spans="2:11">
      <c r="B121" s="78" t="s">
        <v>384</v>
      </c>
      <c r="C121" s="122">
        <f>'Input use - economics'!E7</f>
        <v>6969.2</v>
      </c>
      <c r="D121" s="251" t="str">
        <f>'Input use - economics'!F7</f>
        <v>kWh</v>
      </c>
      <c r="E121" s="47"/>
      <c r="F121" s="47" t="str">
        <f>IF(E121="Stakeholder input","High quality",IF(E121="Previous study","Medium quality",IF(E121="Literature","Medium quality",IF(E121="Googling","Fair quality",IF(E121="Scientific literature","High quality",IF(E121="Expert judgement","Medium quality",""))))))</f>
        <v/>
      </c>
      <c r="G121" s="78"/>
      <c r="H121" s="82"/>
      <c r="I121" s="82" t="s">
        <v>133</v>
      </c>
      <c r="J121" s="103"/>
      <c r="K121" s="104"/>
    </row>
    <row r="122" spans="2:11">
      <c r="B122" s="22" t="s">
        <v>385</v>
      </c>
      <c r="C122" s="124">
        <f>'Input use - economics'!E8</f>
        <v>1</v>
      </c>
      <c r="D122" s="252" t="str">
        <f>'Input use - economics'!F8</f>
        <v>%</v>
      </c>
      <c r="E122" s="33"/>
      <c r="F122" s="33" t="str">
        <f t="shared" ref="F122:F136" si="18">IF(E122="Stakeholder input","High quality",IF(E122="Previous study","Medium quality",IF(E122="Literature","Medium quality",IF(E122="Googling","Fair quality",IF(E122="Scientific literature","High quality",IF(E122="Expert judgement","Medium quality",""))))))</f>
        <v/>
      </c>
      <c r="G122" s="22"/>
      <c r="H122" s="22"/>
      <c r="I122" s="34" t="s">
        <v>133</v>
      </c>
      <c r="J122" s="108"/>
      <c r="K122" s="109"/>
    </row>
    <row r="123" spans="2:11" s="4" customFormat="1">
      <c r="B123" s="33" t="s">
        <v>387</v>
      </c>
      <c r="C123" s="126">
        <f>'Input use - economics'!E9</f>
        <v>0</v>
      </c>
      <c r="D123" s="253" t="str">
        <f>'Input use - economics'!F9</f>
        <v>%</v>
      </c>
      <c r="E123" s="33"/>
      <c r="F123" s="33" t="str">
        <f t="shared" si="18"/>
        <v/>
      </c>
      <c r="G123" s="33"/>
      <c r="H123" s="33"/>
      <c r="I123" s="34" t="s">
        <v>133</v>
      </c>
      <c r="J123" s="108"/>
      <c r="K123" s="109"/>
    </row>
    <row r="124" spans="2:11" s="4" customFormat="1">
      <c r="B124" s="521" t="s">
        <v>395</v>
      </c>
      <c r="C124" s="536">
        <f>'Input use - economics'!$E$15</f>
        <v>94.050752399999993</v>
      </c>
      <c r="D124" s="253" t="s">
        <v>396</v>
      </c>
      <c r="E124" s="48"/>
      <c r="F124" s="48" t="str">
        <f t="shared" si="18"/>
        <v/>
      </c>
      <c r="G124" s="48"/>
      <c r="H124" s="81"/>
      <c r="I124" s="535" t="s">
        <v>542</v>
      </c>
      <c r="J124" s="129"/>
      <c r="K124" s="135"/>
    </row>
    <row r="125" spans="2:11" s="4" customFormat="1" ht="14.5" thickBot="1">
      <c r="B125" s="48" t="s">
        <v>543</v>
      </c>
      <c r="C125" s="127">
        <f>'Input use - economics'!E10</f>
        <v>163153.39500000002</v>
      </c>
      <c r="D125" s="254" t="str">
        <f>'Input use - economics'!F10</f>
        <v>litres/year</v>
      </c>
      <c r="E125" s="48"/>
      <c r="F125" s="48" t="str">
        <f t="shared" si="18"/>
        <v/>
      </c>
      <c r="G125" s="48"/>
      <c r="H125" s="81"/>
      <c r="I125" s="81" t="s">
        <v>133</v>
      </c>
      <c r="J125" s="129"/>
      <c r="K125" s="109"/>
    </row>
    <row r="126" spans="2:11" s="4" customFormat="1" ht="14.5" thickBot="1">
      <c r="B126" s="86" t="s">
        <v>397</v>
      </c>
      <c r="C126" s="130"/>
      <c r="D126" s="255"/>
      <c r="E126" s="96"/>
      <c r="F126" s="96"/>
      <c r="G126" s="96"/>
      <c r="H126" s="97"/>
      <c r="I126" s="97"/>
      <c r="J126" s="131"/>
      <c r="K126" s="109"/>
    </row>
    <row r="127" spans="2:11">
      <c r="B127" s="78" t="s">
        <v>398</v>
      </c>
      <c r="C127" s="122">
        <f>'Input use - economics'!E17</f>
        <v>55</v>
      </c>
      <c r="D127" s="251" t="str">
        <f>'Input use - economics'!F17</f>
        <v>cycles/day</v>
      </c>
      <c r="E127" s="47"/>
      <c r="F127" s="47" t="str">
        <f t="shared" si="18"/>
        <v/>
      </c>
      <c r="G127" s="78"/>
      <c r="H127" s="78"/>
      <c r="I127" s="82" t="s">
        <v>133</v>
      </c>
      <c r="J127" s="103"/>
      <c r="K127" s="109"/>
    </row>
    <row r="128" spans="2:11">
      <c r="B128" s="22" t="s">
        <v>604</v>
      </c>
      <c r="C128" s="256">
        <f>'Input use - economics'!E18</f>
        <v>300</v>
      </c>
      <c r="D128" s="252" t="str">
        <f>'Input use - economics'!F18</f>
        <v>days/year</v>
      </c>
      <c r="E128" s="33"/>
      <c r="F128" s="33" t="str">
        <f t="shared" si="18"/>
        <v/>
      </c>
      <c r="G128" s="22"/>
      <c r="H128" s="22"/>
      <c r="I128" s="34" t="s">
        <v>133</v>
      </c>
      <c r="J128" s="108"/>
      <c r="K128" s="109"/>
    </row>
    <row r="129" spans="2:11">
      <c r="B129" s="22" t="s">
        <v>402</v>
      </c>
      <c r="C129" s="256">
        <f>'Input use - economics'!E19</f>
        <v>18</v>
      </c>
      <c r="D129" s="252" t="str">
        <f>'Input use - economics'!F19</f>
        <v>unit</v>
      </c>
      <c r="E129" s="33"/>
      <c r="F129" s="33"/>
      <c r="G129" s="22"/>
      <c r="H129" s="22"/>
      <c r="I129" s="34" t="s">
        <v>133</v>
      </c>
      <c r="J129" s="108"/>
      <c r="K129" s="109"/>
    </row>
    <row r="130" spans="2:11" ht="14.5" thickBot="1">
      <c r="B130" s="80" t="s">
        <v>605</v>
      </c>
      <c r="C130" s="257">
        <f>'Input use - economics'!E21</f>
        <v>12</v>
      </c>
      <c r="D130" s="258" t="str">
        <f>'Input use - economics'!F21</f>
        <v>hours/day</v>
      </c>
      <c r="E130" s="48"/>
      <c r="F130" s="48"/>
      <c r="G130" s="80"/>
      <c r="H130" s="80"/>
      <c r="I130" s="81" t="s">
        <v>133</v>
      </c>
      <c r="J130" s="129"/>
      <c r="K130" s="109"/>
    </row>
    <row r="131" spans="2:11" ht="14.5" thickBot="1">
      <c r="B131" s="132" t="s">
        <v>406</v>
      </c>
      <c r="C131" s="259"/>
      <c r="D131" s="260"/>
      <c r="E131" s="96"/>
      <c r="F131" s="96"/>
      <c r="G131" s="98"/>
      <c r="H131" s="98"/>
      <c r="I131" s="97"/>
      <c r="J131" s="131"/>
      <c r="K131" s="109"/>
    </row>
    <row r="132" spans="2:11" s="4" customFormat="1" ht="14.5" thickBot="1">
      <c r="B132" s="133" t="s">
        <v>407</v>
      </c>
      <c r="C132" s="261">
        <f>'Input use - economics'!E23</f>
        <v>182.95618500000003</v>
      </c>
      <c r="D132" s="262" t="str">
        <f>'Input use - economics'!F23</f>
        <v>kg/year</v>
      </c>
      <c r="E132" s="47"/>
      <c r="F132" s="47" t="str">
        <f>IF(E132="Stakeholder input","High quality",IF(E132="Previous study","Medium quality",IF(E132="Literature","Medium quality",IF(E132="Googling","Fair quality",IF(E132="Scientific literature","High quality",IF(E132="Expert judgement","Medium quality",""))))))</f>
        <v/>
      </c>
      <c r="G132" s="47"/>
      <c r="H132" s="78"/>
      <c r="I132" s="82" t="s">
        <v>133</v>
      </c>
      <c r="J132" s="103"/>
      <c r="K132" s="109"/>
    </row>
    <row r="133" spans="2:11" s="4" customFormat="1">
      <c r="B133" s="51" t="s">
        <v>544</v>
      </c>
      <c r="C133" s="122">
        <f>'Input use - economics'!E24</f>
        <v>15.5956185</v>
      </c>
      <c r="D133" s="262" t="str">
        <f>'Input use - economics'!D24</f>
        <v>kg/year</v>
      </c>
      <c r="E133" s="51"/>
      <c r="F133" s="51"/>
      <c r="G133" s="51"/>
      <c r="H133" s="63"/>
      <c r="I133" s="82" t="s">
        <v>133</v>
      </c>
      <c r="J133" s="445"/>
      <c r="K133" s="135"/>
    </row>
    <row r="134" spans="2:11" s="4" customFormat="1">
      <c r="B134" s="125" t="s">
        <v>410</v>
      </c>
      <c r="C134" s="122">
        <f>'Input use - economics'!E25</f>
        <v>0</v>
      </c>
      <c r="D134" s="251">
        <f>'Input use - economics'!F25</f>
        <v>0</v>
      </c>
      <c r="E134" s="48"/>
      <c r="F134" s="48"/>
      <c r="G134" s="48"/>
      <c r="H134" s="80"/>
      <c r="I134" s="34" t="s">
        <v>133</v>
      </c>
      <c r="J134" s="129"/>
      <c r="K134" s="135"/>
    </row>
    <row r="135" spans="2:11" s="4" customFormat="1">
      <c r="B135" s="125" t="s">
        <v>411</v>
      </c>
      <c r="C135" s="256">
        <f>'Input use - economics'!E26</f>
        <v>0</v>
      </c>
      <c r="D135" s="254" t="str">
        <f>'Input use - economics'!F26</f>
        <v>-</v>
      </c>
      <c r="E135" s="48"/>
      <c r="F135" s="48"/>
      <c r="G135" s="48"/>
      <c r="H135" s="80"/>
      <c r="I135" s="34" t="s">
        <v>133</v>
      </c>
      <c r="J135" s="129"/>
      <c r="K135" s="135"/>
    </row>
    <row r="136" spans="2:11" ht="14.5" thickBot="1">
      <c r="B136" s="88" t="s">
        <v>413</v>
      </c>
      <c r="C136" s="263">
        <f>'Input use - economics'!E27</f>
        <v>0</v>
      </c>
      <c r="D136" s="264" t="str">
        <f>'Input use - economics'!F27</f>
        <v>%</v>
      </c>
      <c r="E136" s="37"/>
      <c r="F136" s="37" t="str">
        <f t="shared" si="18"/>
        <v/>
      </c>
      <c r="G136" s="21"/>
      <c r="H136" s="21"/>
      <c r="I136" s="38" t="s">
        <v>133</v>
      </c>
      <c r="J136" s="105"/>
      <c r="K136" s="106"/>
    </row>
    <row r="138" spans="2:11" ht="15" thickBot="1">
      <c r="B138" s="111" t="s">
        <v>545</v>
      </c>
    </row>
    <row r="139" spans="2:11" s="114" customFormat="1" ht="14.5" thickBot="1">
      <c r="B139" s="18" t="s">
        <v>546</v>
      </c>
      <c r="C139" s="18" t="s">
        <v>305</v>
      </c>
      <c r="D139" s="18" t="s">
        <v>7</v>
      </c>
      <c r="E139" s="18" t="s">
        <v>458</v>
      </c>
      <c r="F139" s="18" t="s">
        <v>459</v>
      </c>
      <c r="G139" s="18" t="s">
        <v>460</v>
      </c>
      <c r="H139" s="18" t="s">
        <v>503</v>
      </c>
      <c r="I139" s="18" t="s">
        <v>461</v>
      </c>
      <c r="J139" s="17" t="s">
        <v>462</v>
      </c>
      <c r="K139" s="102" t="s">
        <v>463</v>
      </c>
    </row>
    <row r="140" spans="2:11" ht="14.5" thickBot="1">
      <c r="B140" s="132" t="s">
        <v>276</v>
      </c>
      <c r="C140" s="132"/>
      <c r="D140" s="132"/>
      <c r="E140" s="132"/>
      <c r="F140" s="137"/>
      <c r="G140" s="132"/>
      <c r="H140" s="132"/>
      <c r="I140" s="132"/>
      <c r="J140" s="131"/>
      <c r="K140" s="131"/>
    </row>
    <row r="141" spans="2:11" ht="14.5">
      <c r="B141" s="138" t="s">
        <v>547</v>
      </c>
      <c r="C141" s="139">
        <f>(C121*C122)/C142</f>
        <v>0.42237575757575757</v>
      </c>
      <c r="D141" s="134" t="s">
        <v>368</v>
      </c>
      <c r="E141" s="41"/>
      <c r="F141" s="20" t="str">
        <f>IF(E141="Stakeholder input","High quality",IF(E141="Previous study","Medium quality",IF(E141="Literature","Medium quality",IF(E141="Googling","Fair quality",IF(E141="Scientific literature","High quality",IF(E141="Expert judgement","Medium quality",""))))))</f>
        <v/>
      </c>
      <c r="G141" s="20"/>
      <c r="H141" s="20"/>
      <c r="I141" s="20" t="s">
        <v>254</v>
      </c>
      <c r="J141" s="103"/>
      <c r="K141" s="104"/>
    </row>
    <row r="142" spans="2:11" ht="15" thickBot="1">
      <c r="B142" s="140" t="s">
        <v>548</v>
      </c>
      <c r="C142" s="21">
        <f>C127*C128</f>
        <v>16500</v>
      </c>
      <c r="D142" s="136" t="s">
        <v>549</v>
      </c>
      <c r="E142" s="37"/>
      <c r="F142" s="21" t="str">
        <f t="shared" ref="F142:F146" si="19">IF(E142="Stakeholder input","High quality",IF(E142="Previous study","Medium quality",IF(E142="Literature","Medium quality",IF(E142="Googling","Fair quality",IF(E142="Scientific literature","High quality",IF(E142="Expert judgement","Medium quality",""))))))</f>
        <v/>
      </c>
      <c r="G142" s="21"/>
      <c r="H142" s="21"/>
      <c r="I142" s="81" t="s">
        <v>254</v>
      </c>
      <c r="J142" s="129"/>
      <c r="K142" s="135"/>
    </row>
    <row r="143" spans="2:11" ht="14.5">
      <c r="B143" s="141" t="s">
        <v>550</v>
      </c>
      <c r="C143" s="142">
        <f>'T3 Input data'!$G$163</f>
        <v>0.16</v>
      </c>
      <c r="D143" s="91" t="s">
        <v>368</v>
      </c>
      <c r="E143" s="41"/>
      <c r="F143" s="22" t="str">
        <f t="shared" si="19"/>
        <v/>
      </c>
      <c r="G143" s="22"/>
      <c r="H143" s="22"/>
      <c r="I143" s="20" t="s">
        <v>254</v>
      </c>
      <c r="J143" s="143"/>
      <c r="K143" s="144"/>
    </row>
    <row r="144" spans="2:11" ht="29" thickBot="1">
      <c r="B144" s="140" t="s">
        <v>551</v>
      </c>
      <c r="C144" s="21">
        <f>'T3 Input data'!F163*'Input use - economics'!E18</f>
        <v>2700</v>
      </c>
      <c r="D144" s="88" t="s">
        <v>549</v>
      </c>
      <c r="E144" s="37"/>
      <c r="F144" s="22" t="str">
        <f t="shared" si="19"/>
        <v/>
      </c>
      <c r="G144" s="22" t="s">
        <v>552</v>
      </c>
      <c r="H144" s="22"/>
      <c r="I144" s="38" t="s">
        <v>254</v>
      </c>
      <c r="J144" s="105"/>
      <c r="K144" s="106"/>
    </row>
    <row r="145" spans="2:11" ht="14.5">
      <c r="B145" s="141" t="s">
        <v>553</v>
      </c>
      <c r="C145" s="145"/>
      <c r="D145" s="134" t="s">
        <v>368</v>
      </c>
      <c r="E145" s="41"/>
      <c r="F145" s="23" t="str">
        <f t="shared" si="19"/>
        <v/>
      </c>
      <c r="G145" s="23"/>
      <c r="H145" s="23"/>
      <c r="I145" s="82" t="s">
        <v>254</v>
      </c>
      <c r="J145" s="103"/>
      <c r="K145" s="104"/>
    </row>
    <row r="146" spans="2:11" ht="15" thickBot="1">
      <c r="B146" s="140" t="s">
        <v>554</v>
      </c>
      <c r="C146" s="113"/>
      <c r="D146" s="88" t="s">
        <v>549</v>
      </c>
      <c r="E146" s="37"/>
      <c r="F146" s="24" t="str">
        <f t="shared" si="19"/>
        <v/>
      </c>
      <c r="G146" s="24"/>
      <c r="H146" s="24"/>
      <c r="I146" s="38" t="s">
        <v>254</v>
      </c>
      <c r="J146" s="129"/>
      <c r="K146" s="135"/>
    </row>
    <row r="147" spans="2:11" ht="14.5" thickBot="1">
      <c r="B147" s="132" t="s">
        <v>370</v>
      </c>
      <c r="C147" s="132"/>
      <c r="D147" s="146"/>
      <c r="E147" s="132"/>
      <c r="F147" s="132"/>
      <c r="G147" s="132"/>
      <c r="H147" s="132"/>
      <c r="I147" s="132"/>
      <c r="J147" s="131"/>
      <c r="K147" s="131"/>
    </row>
    <row r="148" spans="2:11" s="147" customFormat="1" ht="56">
      <c r="B148" s="148" t="s">
        <v>555</v>
      </c>
      <c r="C148" s="149">
        <f>((C121*C123)+C124)/C149</f>
        <v>5.7000455999999993E-3</v>
      </c>
      <c r="D148" s="87" t="s">
        <v>368</v>
      </c>
      <c r="E148" s="42"/>
      <c r="F148" s="20" t="str">
        <f>IF(E148="Stakeholder input","High quality",IF(E148="Previous study","Medium quality",IF(E148="Literature","Medium quality",IF(E148="Googling","Fair quality",IF(E148="Scientific literature","High quality",IF(E148="Expert judgement","Medium quality",""))))))</f>
        <v/>
      </c>
      <c r="G148" s="20" t="s">
        <v>556</v>
      </c>
      <c r="H148" s="20" t="s">
        <v>557</v>
      </c>
      <c r="I148" s="20" t="s">
        <v>254</v>
      </c>
      <c r="J148" s="103"/>
      <c r="K148" s="104"/>
    </row>
    <row r="149" spans="2:11">
      <c r="B149" s="150" t="s">
        <v>558</v>
      </c>
      <c r="C149" s="21">
        <f>C142</f>
        <v>16500</v>
      </c>
      <c r="D149" s="88" t="s">
        <v>549</v>
      </c>
      <c r="E149" s="37"/>
      <c r="F149" s="37" t="str">
        <f>IF(E149="Stakeholder input","High quality",IF(E149="Previous study","Medium quality",IF(E149="Literature","Medium quality",IF(E149="Googling","Fair quality",IF(E149="Scientific literature","High quality",IF(E149="Expert judgement","Medium quality",""))))))</f>
        <v/>
      </c>
      <c r="G149" s="21"/>
      <c r="H149" s="21"/>
      <c r="I149" s="38" t="s">
        <v>254</v>
      </c>
      <c r="J149" s="129"/>
      <c r="K149" s="135"/>
    </row>
    <row r="150" spans="2:11" ht="14.5">
      <c r="B150" s="151" t="s">
        <v>559</v>
      </c>
      <c r="C150" s="152">
        <f>((C121*C123)+C124)/C151</f>
        <v>2.6125208999999996E-2</v>
      </c>
      <c r="D150" s="89" t="s">
        <v>560</v>
      </c>
      <c r="E150" s="43"/>
      <c r="F150" s="25" t="str">
        <f t="shared" ref="F150:F165" si="20">IF(E150="Stakeholder input","High quality",IF(E150="Previous study","Medium quality",IF(E150="Literature","Medium quality",IF(E150="Googling","Fair quality",IF(E150="Scientific literature","High quality",IF(E150="Expert judgement","Medium quality",""))))))</f>
        <v/>
      </c>
      <c r="G150" s="25" t="s">
        <v>556</v>
      </c>
      <c r="H150" s="25"/>
      <c r="I150" s="25" t="s">
        <v>254</v>
      </c>
      <c r="J150" s="143"/>
      <c r="K150" s="144"/>
    </row>
    <row r="151" spans="2:11" ht="14.5">
      <c r="B151" s="153" t="s">
        <v>561</v>
      </c>
      <c r="C151" s="154">
        <f>C130*C128</f>
        <v>3600</v>
      </c>
      <c r="D151" s="90" t="s">
        <v>562</v>
      </c>
      <c r="E151" s="44"/>
      <c r="F151" s="26" t="str">
        <f t="shared" si="20"/>
        <v/>
      </c>
      <c r="G151" s="26"/>
      <c r="H151" s="26"/>
      <c r="I151" s="26" t="s">
        <v>254</v>
      </c>
      <c r="J151" s="108"/>
      <c r="K151" s="109"/>
    </row>
    <row r="152" spans="2:11" ht="15" thickBot="1">
      <c r="B152" s="285" t="s">
        <v>563</v>
      </c>
      <c r="C152" s="155"/>
      <c r="D152" s="156"/>
      <c r="E152" s="45"/>
      <c r="F152" s="27" t="str">
        <f t="shared" si="20"/>
        <v/>
      </c>
      <c r="G152" s="27"/>
      <c r="H152" s="27"/>
      <c r="I152" s="27"/>
      <c r="J152" s="105"/>
      <c r="K152" s="106"/>
    </row>
    <row r="153" spans="2:11" ht="14.5" thickBot="1">
      <c r="B153" s="132" t="s">
        <v>564</v>
      </c>
      <c r="C153" s="132"/>
      <c r="D153" s="146"/>
      <c r="E153" s="132"/>
      <c r="F153" s="132" t="str">
        <f t="shared" si="20"/>
        <v/>
      </c>
      <c r="G153" s="132"/>
      <c r="H153" s="132"/>
      <c r="I153" s="132"/>
      <c r="J153" s="131"/>
      <c r="K153" s="131"/>
    </row>
    <row r="154" spans="2:11">
      <c r="B154" s="157" t="s">
        <v>565</v>
      </c>
      <c r="C154" s="158">
        <f>(C125/C155)*0.001</f>
        <v>9.8880845454545462E-3</v>
      </c>
      <c r="D154" s="91" t="s">
        <v>566</v>
      </c>
      <c r="E154" s="41"/>
      <c r="F154" s="29" t="str">
        <f t="shared" si="20"/>
        <v/>
      </c>
      <c r="G154" s="29"/>
      <c r="H154" s="20"/>
      <c r="I154" s="20" t="s">
        <v>254</v>
      </c>
      <c r="J154" s="103"/>
      <c r="K154" s="104"/>
    </row>
    <row r="155" spans="2:11" ht="14.5" thickBot="1">
      <c r="B155" s="159" t="s">
        <v>558</v>
      </c>
      <c r="C155" s="21">
        <f>C142</f>
        <v>16500</v>
      </c>
      <c r="D155" s="88" t="s">
        <v>549</v>
      </c>
      <c r="E155" s="37"/>
      <c r="F155" s="21" t="str">
        <f t="shared" si="20"/>
        <v/>
      </c>
      <c r="G155" s="21"/>
      <c r="H155" s="21"/>
      <c r="I155" s="21" t="s">
        <v>254</v>
      </c>
      <c r="J155" s="129"/>
      <c r="K155" s="135"/>
    </row>
    <row r="156" spans="2:11" ht="14.5" thickBot="1">
      <c r="B156" s="441" t="s">
        <v>567</v>
      </c>
      <c r="C156" s="447">
        <f>C125*0.001</f>
        <v>163.15339500000002</v>
      </c>
      <c r="D156" s="443" t="s">
        <v>566</v>
      </c>
      <c r="E156" s="444"/>
      <c r="F156" s="442"/>
      <c r="G156" s="442"/>
      <c r="H156" s="442"/>
      <c r="I156" s="442" t="s">
        <v>542</v>
      </c>
      <c r="J156" s="445"/>
      <c r="K156" s="446"/>
    </row>
    <row r="157" spans="2:11">
      <c r="B157" s="132" t="s">
        <v>406</v>
      </c>
      <c r="C157" s="132"/>
      <c r="D157" s="146"/>
      <c r="E157" s="132"/>
      <c r="F157" s="132" t="str">
        <f t="shared" si="20"/>
        <v/>
      </c>
      <c r="G157" s="132"/>
      <c r="H157" s="132"/>
      <c r="I157" s="132"/>
      <c r="J157" s="131"/>
      <c r="K157" s="131"/>
    </row>
    <row r="158" spans="2:11" ht="15" thickBot="1">
      <c r="B158" s="160" t="s">
        <v>568</v>
      </c>
      <c r="C158" s="161">
        <f>C132/C142</f>
        <v>1.1088253636363638E-2</v>
      </c>
      <c r="D158" s="162" t="s">
        <v>309</v>
      </c>
      <c r="E158" s="46"/>
      <c r="F158" s="28" t="str">
        <f t="shared" si="20"/>
        <v/>
      </c>
      <c r="G158" s="28"/>
      <c r="H158" s="28"/>
      <c r="I158" s="28" t="s">
        <v>254</v>
      </c>
      <c r="J158" s="163"/>
      <c r="K158" s="164"/>
    </row>
    <row r="159" spans="2:11" ht="15" thickBot="1">
      <c r="B159" s="551" t="s">
        <v>606</v>
      </c>
      <c r="C159" s="161">
        <f>C133/C142</f>
        <v>9.4518900000000003E-4</v>
      </c>
      <c r="D159" s="162" t="s">
        <v>309</v>
      </c>
      <c r="E159" s="51"/>
      <c r="F159" s="63"/>
      <c r="G159" s="63"/>
      <c r="H159" s="63"/>
      <c r="I159" s="28" t="s">
        <v>254</v>
      </c>
      <c r="J159" s="445"/>
      <c r="K159" s="446"/>
    </row>
    <row r="160" spans="2:11">
      <c r="B160" s="157" t="s">
        <v>569</v>
      </c>
      <c r="C160" s="78">
        <f>C134</f>
        <v>0</v>
      </c>
      <c r="D160" s="123"/>
      <c r="E160" s="47"/>
      <c r="F160" s="78" t="str">
        <f t="shared" si="20"/>
        <v/>
      </c>
      <c r="G160" s="78"/>
      <c r="H160" s="78"/>
      <c r="I160" s="78" t="s">
        <v>570</v>
      </c>
      <c r="J160" s="103"/>
      <c r="K160" s="104"/>
    </row>
    <row r="161" spans="1:12">
      <c r="B161" s="165" t="s">
        <v>411</v>
      </c>
      <c r="C161" s="22">
        <f>C135</f>
        <v>0</v>
      </c>
      <c r="D161" s="128" t="s">
        <v>412</v>
      </c>
      <c r="E161" s="33"/>
      <c r="F161" s="22" t="str">
        <f t="shared" si="20"/>
        <v/>
      </c>
      <c r="G161" s="22"/>
      <c r="H161" s="22"/>
      <c r="I161" s="78" t="s">
        <v>570</v>
      </c>
      <c r="J161" s="108"/>
      <c r="K161" s="109"/>
    </row>
    <row r="162" spans="1:12" ht="14.5" thickBot="1">
      <c r="B162" s="166" t="s">
        <v>413</v>
      </c>
      <c r="C162" s="80">
        <f>C136</f>
        <v>0</v>
      </c>
      <c r="D162" s="128" t="s">
        <v>386</v>
      </c>
      <c r="E162" s="48"/>
      <c r="F162" s="80" t="str">
        <f t="shared" si="20"/>
        <v/>
      </c>
      <c r="G162" s="80"/>
      <c r="H162" s="80"/>
      <c r="I162" s="78" t="s">
        <v>570</v>
      </c>
      <c r="J162" s="129"/>
      <c r="K162" s="135"/>
    </row>
    <row r="163" spans="1:12" ht="14.5" thickBot="1">
      <c r="B163" s="132" t="s">
        <v>571</v>
      </c>
      <c r="C163" s="132"/>
      <c r="D163" s="146"/>
      <c r="E163" s="132"/>
      <c r="F163" s="132" t="str">
        <f t="shared" si="20"/>
        <v/>
      </c>
      <c r="G163" s="132"/>
      <c r="H163" s="132"/>
      <c r="I163" s="132"/>
      <c r="J163" s="131"/>
      <c r="K163" s="131"/>
    </row>
    <row r="164" spans="1:12">
      <c r="B164" s="78"/>
      <c r="C164" s="78"/>
      <c r="D164" s="123"/>
      <c r="E164" s="47"/>
      <c r="F164" s="78" t="str">
        <f t="shared" si="20"/>
        <v/>
      </c>
      <c r="G164" s="78"/>
      <c r="H164" s="78"/>
      <c r="I164" s="78"/>
      <c r="J164" s="103"/>
      <c r="K164" s="104"/>
    </row>
    <row r="165" spans="1:12" ht="14.5" thickBot="1">
      <c r="B165" s="21"/>
      <c r="C165" s="21"/>
      <c r="D165" s="88"/>
      <c r="E165" s="37"/>
      <c r="F165" s="21" t="str">
        <f t="shared" si="20"/>
        <v/>
      </c>
      <c r="G165" s="21"/>
      <c r="H165" s="21"/>
      <c r="I165" s="21"/>
      <c r="J165" s="105"/>
      <c r="K165" s="106"/>
    </row>
    <row r="167" spans="1:12" s="99" customFormat="1" ht="21">
      <c r="A167" s="110"/>
      <c r="B167" s="52" t="s">
        <v>572</v>
      </c>
      <c r="C167" s="110"/>
      <c r="D167" s="52"/>
      <c r="E167" s="52"/>
      <c r="F167" s="110"/>
      <c r="G167" s="110"/>
      <c r="H167" s="110"/>
      <c r="I167" s="110"/>
      <c r="J167" s="110"/>
      <c r="K167" s="110"/>
      <c r="L167" s="110"/>
    </row>
    <row r="168" spans="1:12" ht="14.5" thickBot="1">
      <c r="B168"/>
    </row>
    <row r="169" spans="1:12" ht="14.5" thickBot="1">
      <c r="B169" s="83" t="s">
        <v>573</v>
      </c>
      <c r="C169" s="84" t="s">
        <v>305</v>
      </c>
      <c r="D169" s="83" t="s">
        <v>7</v>
      </c>
      <c r="E169" s="84" t="s">
        <v>458</v>
      </c>
      <c r="F169" s="83" t="s">
        <v>459</v>
      </c>
      <c r="G169" s="83" t="s">
        <v>460</v>
      </c>
      <c r="H169" s="83" t="s">
        <v>503</v>
      </c>
      <c r="I169" s="84" t="s">
        <v>461</v>
      </c>
      <c r="J169" s="85" t="s">
        <v>462</v>
      </c>
      <c r="K169" s="167" t="s">
        <v>463</v>
      </c>
    </row>
    <row r="170" spans="1:12" ht="14.5" thickBot="1">
      <c r="B170" s="132" t="s">
        <v>415</v>
      </c>
      <c r="C170" s="132"/>
      <c r="D170" s="132"/>
      <c r="E170" s="132"/>
      <c r="F170" s="132"/>
      <c r="G170" s="132"/>
      <c r="H170" s="132"/>
      <c r="I170" s="146"/>
      <c r="J170" s="131"/>
      <c r="K170" s="131"/>
    </row>
    <row r="171" spans="1:12">
      <c r="A171" s="4"/>
      <c r="B171" s="47" t="s">
        <v>416</v>
      </c>
      <c r="C171" s="273">
        <f>'Input use - economics'!E36</f>
        <v>8</v>
      </c>
      <c r="D171" s="47" t="str">
        <f>'Input use - economics'!F36</f>
        <v>years</v>
      </c>
      <c r="E171" s="47"/>
      <c r="F171" s="47" t="str">
        <f>IF(E171="Stakeholder input","High quality",IF(E171="Previous study","Medium quality",IF(E171="Literature","Medium quality",IF(E171="Googling","Fair quality",IF(E171="Scientific literature","High quality",IF(E171="Expert judgement","Medium quality",""))))))</f>
        <v/>
      </c>
      <c r="G171" s="47"/>
      <c r="H171" s="47"/>
      <c r="I171" s="47" t="s">
        <v>542</v>
      </c>
      <c r="J171" s="103"/>
      <c r="K171" s="104"/>
      <c r="L171" s="4"/>
    </row>
    <row r="172" spans="1:12" ht="14.5" thickBot="1">
      <c r="A172" s="4"/>
      <c r="B172" s="48" t="s">
        <v>418</v>
      </c>
      <c r="C172" s="274">
        <f>'Input use - economics'!E37</f>
        <v>2.2000000000000002</v>
      </c>
      <c r="D172" s="48" t="str">
        <f>'Input use - economics'!F37</f>
        <v>-</v>
      </c>
      <c r="E172" s="48"/>
      <c r="F172" s="48" t="str">
        <f t="shared" ref="F172:F187" si="21">IF(E172="Stakeholder input","High quality",IF(E172="Previous study","Medium quality",IF(E172="Literature","Medium quality",IF(E172="Googling","Fair quality",IF(E172="Scientific literature","High quality",IF(E172="Expert judgement","Medium quality",""))))))</f>
        <v/>
      </c>
      <c r="G172" s="48"/>
      <c r="H172" s="48"/>
      <c r="I172" s="33" t="s">
        <v>542</v>
      </c>
      <c r="J172" s="129"/>
      <c r="K172" s="135"/>
      <c r="L172" s="4"/>
    </row>
    <row r="173" spans="1:12" ht="14.5" thickBot="1">
      <c r="A173" s="4"/>
      <c r="B173" s="86" t="s">
        <v>419</v>
      </c>
      <c r="C173" s="275"/>
      <c r="D173" s="86"/>
      <c r="E173" s="86"/>
      <c r="F173" s="86" t="str">
        <f t="shared" si="21"/>
        <v/>
      </c>
      <c r="G173" s="86"/>
      <c r="H173" s="86"/>
      <c r="I173" s="86"/>
      <c r="J173" s="131"/>
      <c r="K173" s="131"/>
      <c r="L173" s="4"/>
    </row>
    <row r="174" spans="1:12" ht="28">
      <c r="A174" s="4"/>
      <c r="B174" s="41" t="s">
        <v>574</v>
      </c>
      <c r="C174" s="276">
        <f>'Input use - economics'!E39</f>
        <v>0.16201199999999999</v>
      </c>
      <c r="D174" s="41" t="str">
        <f>'Input use - economics'!F39</f>
        <v>mln. units/year</v>
      </c>
      <c r="E174" s="41" t="s">
        <v>607</v>
      </c>
      <c r="F174" s="41" t="str">
        <f t="shared" si="21"/>
        <v>Medium quality</v>
      </c>
      <c r="G174" s="41"/>
      <c r="H174" s="41" t="s">
        <v>575</v>
      </c>
      <c r="I174" s="41" t="s">
        <v>576</v>
      </c>
      <c r="J174" s="143"/>
      <c r="K174" s="104"/>
      <c r="L174" s="4"/>
    </row>
    <row r="175" spans="1:12" ht="82.5" customHeight="1">
      <c r="A175" s="4"/>
      <c r="B175" s="33" t="s">
        <v>422</v>
      </c>
      <c r="C175" s="452">
        <f>'Input use - economics'!E40</f>
        <v>5658.5</v>
      </c>
      <c r="D175" s="33" t="str">
        <f>'Input use - economics'!F40</f>
        <v>Euro/unit</v>
      </c>
      <c r="E175" s="33" t="s">
        <v>577</v>
      </c>
      <c r="F175" s="33" t="str">
        <f t="shared" si="21"/>
        <v>Medium quality</v>
      </c>
      <c r="G175" s="33" t="s">
        <v>578</v>
      </c>
      <c r="H175" s="33" t="s">
        <v>608</v>
      </c>
      <c r="I175" s="33" t="s">
        <v>576</v>
      </c>
      <c r="J175" s="108"/>
      <c r="K175" s="109"/>
      <c r="L175" s="4"/>
    </row>
    <row r="176" spans="1:12" ht="70">
      <c r="A176" s="4"/>
      <c r="B176" s="33" t="s">
        <v>424</v>
      </c>
      <c r="C176" s="453">
        <f>'Input use - economics'!E41</f>
        <v>15</v>
      </c>
      <c r="D176" s="33" t="str">
        <f>'Input use - economics'!F41</f>
        <v>-</v>
      </c>
      <c r="E176" s="33"/>
      <c r="F176" s="33" t="str">
        <f t="shared" si="21"/>
        <v/>
      </c>
      <c r="G176" s="360" t="s">
        <v>579</v>
      </c>
      <c r="H176" s="481" t="s">
        <v>580</v>
      </c>
      <c r="I176" s="33" t="s">
        <v>576</v>
      </c>
      <c r="J176" s="108"/>
      <c r="K176" s="109"/>
      <c r="L176" s="4"/>
    </row>
    <row r="177" spans="1:12" ht="81.650000000000006" customHeight="1">
      <c r="A177" s="4"/>
      <c r="B177" s="33" t="s">
        <v>425</v>
      </c>
      <c r="C177" s="277">
        <f>'Input use - economics'!E42</f>
        <v>0</v>
      </c>
      <c r="D177" s="33" t="str">
        <f>'Input use - economics'!F42</f>
        <v>Euro/ unit</v>
      </c>
      <c r="E177" s="33"/>
      <c r="F177" s="33" t="str">
        <f t="shared" si="21"/>
        <v/>
      </c>
      <c r="G177" s="33" t="s">
        <v>581</v>
      </c>
      <c r="H177" s="33"/>
      <c r="I177" s="33" t="s">
        <v>576</v>
      </c>
      <c r="J177" s="108"/>
      <c r="K177" s="109"/>
      <c r="L177" s="4"/>
    </row>
    <row r="178" spans="1:12" ht="42">
      <c r="A178" s="4"/>
      <c r="B178" s="33" t="s">
        <v>427</v>
      </c>
      <c r="C178" s="480">
        <f>'Input use - economics'!E43</f>
        <v>2.3477100000000001E-2</v>
      </c>
      <c r="D178" s="33" t="str">
        <f>'Input use - economics'!F43</f>
        <v>Euro/MJ</v>
      </c>
      <c r="E178" s="33"/>
      <c r="F178" s="33" t="str">
        <f t="shared" si="21"/>
        <v/>
      </c>
      <c r="G178" s="360" t="s">
        <v>582</v>
      </c>
      <c r="H178" s="360" t="s">
        <v>583</v>
      </c>
      <c r="I178" s="33" t="s">
        <v>576</v>
      </c>
      <c r="J178" s="108"/>
      <c r="K178" s="109"/>
      <c r="L178" s="4"/>
    </row>
    <row r="179" spans="1:12" ht="42">
      <c r="A179" s="4"/>
      <c r="B179" s="33" t="s">
        <v>429</v>
      </c>
      <c r="C179" s="450">
        <f>'Input use - economics'!E44</f>
        <v>0.2571</v>
      </c>
      <c r="D179" s="33" t="str">
        <f>'Input use - economics'!F44</f>
        <v>Euro/kWh</v>
      </c>
      <c r="E179" s="33" t="s">
        <v>577</v>
      </c>
      <c r="F179" s="33" t="str">
        <f t="shared" si="21"/>
        <v>Medium quality</v>
      </c>
      <c r="G179" s="33" t="s">
        <v>584</v>
      </c>
      <c r="H179" s="33" t="s">
        <v>585</v>
      </c>
      <c r="I179" s="33" t="s">
        <v>576</v>
      </c>
      <c r="J179" s="108"/>
      <c r="K179" s="109"/>
      <c r="L179" s="4"/>
    </row>
    <row r="180" spans="1:12" ht="28">
      <c r="A180" s="4"/>
      <c r="B180" s="33" t="s">
        <v>431</v>
      </c>
      <c r="C180" s="277">
        <f>'Input use - economics'!E45</f>
        <v>1.91</v>
      </c>
      <c r="D180" s="33" t="str">
        <f>'Input use - economics'!F45</f>
        <v>Euro/m3</v>
      </c>
      <c r="E180" s="33" t="s">
        <v>577</v>
      </c>
      <c r="F180" s="33" t="str">
        <f t="shared" si="21"/>
        <v>Medium quality</v>
      </c>
      <c r="G180" s="33" t="s">
        <v>586</v>
      </c>
      <c r="H180" s="33" t="s">
        <v>587</v>
      </c>
      <c r="I180" s="33" t="s">
        <v>576</v>
      </c>
      <c r="J180" s="108"/>
      <c r="K180" s="109"/>
      <c r="L180" s="4"/>
    </row>
    <row r="181" spans="1:12" ht="46.5" customHeight="1">
      <c r="A181" s="4"/>
      <c r="B181" s="33" t="s">
        <v>433</v>
      </c>
      <c r="C181" s="277">
        <f>'Input use - economics'!E46</f>
        <v>2489.7400000000002</v>
      </c>
      <c r="D181" s="33" t="str">
        <f>'Input use - economics'!F46</f>
        <v>Euro/ unit</v>
      </c>
      <c r="E181" s="33" t="s">
        <v>577</v>
      </c>
      <c r="F181" s="33" t="str">
        <f t="shared" si="21"/>
        <v>Medium quality</v>
      </c>
      <c r="G181" s="33" t="s">
        <v>588</v>
      </c>
      <c r="H181" s="33" t="s">
        <v>609</v>
      </c>
      <c r="I181" s="33" t="s">
        <v>576</v>
      </c>
      <c r="J181" s="108"/>
      <c r="K181" s="109"/>
      <c r="L181" s="4"/>
    </row>
    <row r="182" spans="1:12">
      <c r="A182" s="4"/>
      <c r="B182" s="33" t="s">
        <v>434</v>
      </c>
      <c r="C182" s="456">
        <f>'Input use - economics'!E47</f>
        <v>0.03</v>
      </c>
      <c r="D182" s="33" t="str">
        <f>'Input use - economics'!F47</f>
        <v>%</v>
      </c>
      <c r="E182" s="33" t="s">
        <v>577</v>
      </c>
      <c r="F182" s="33" t="str">
        <f t="shared" si="21"/>
        <v>Medium quality</v>
      </c>
      <c r="G182" s="457" t="s">
        <v>589</v>
      </c>
      <c r="H182" s="458" t="s">
        <v>590</v>
      </c>
      <c r="I182" s="33" t="s">
        <v>576</v>
      </c>
      <c r="J182" s="108"/>
      <c r="K182" s="109"/>
      <c r="L182" s="4"/>
    </row>
    <row r="183" spans="1:12" ht="27" customHeight="1">
      <c r="A183" s="4"/>
      <c r="B183" s="33" t="s">
        <v>435</v>
      </c>
      <c r="C183" s="455">
        <f>'Input use - economics'!E48</f>
        <v>1.3538364175680327E-2</v>
      </c>
      <c r="D183" s="33" t="str">
        <f>'Input use - economics'!F48</f>
        <v>%</v>
      </c>
      <c r="E183" s="33"/>
      <c r="F183" s="33" t="str">
        <f t="shared" si="21"/>
        <v/>
      </c>
      <c r="G183" s="33"/>
      <c r="H183" s="33"/>
      <c r="I183" s="33" t="s">
        <v>576</v>
      </c>
      <c r="J183" s="108"/>
      <c r="K183" s="109"/>
      <c r="L183" s="4"/>
    </row>
    <row r="184" spans="1:12" ht="46.5" customHeight="1">
      <c r="A184" s="4"/>
      <c r="B184" s="33" t="s">
        <v>436</v>
      </c>
      <c r="C184" s="277">
        <f>'Input use - economics'!E49</f>
        <v>1</v>
      </c>
      <c r="D184" s="33" t="str">
        <f>'Input use - economics'!F49</f>
        <v>-</v>
      </c>
      <c r="E184" s="33" t="s">
        <v>504</v>
      </c>
      <c r="F184" s="33" t="str">
        <f t="shared" si="21"/>
        <v>High quality</v>
      </c>
      <c r="G184" s="33"/>
      <c r="H184" s="33" t="s">
        <v>591</v>
      </c>
      <c r="I184" s="33" t="s">
        <v>576</v>
      </c>
      <c r="J184" s="108"/>
      <c r="K184" s="109"/>
      <c r="L184" s="4"/>
    </row>
    <row r="185" spans="1:12" ht="27.75" customHeight="1">
      <c r="A185" s="4"/>
      <c r="B185" s="33" t="s">
        <v>437</v>
      </c>
      <c r="C185" s="450">
        <f>'Input use - economics'!E50</f>
        <v>4.21875</v>
      </c>
      <c r="D185" s="33" t="str">
        <f>'Input use - economics'!F50</f>
        <v>Euro/kg detergent</v>
      </c>
      <c r="E185" s="33" t="s">
        <v>577</v>
      </c>
      <c r="F185" s="33" t="str">
        <f t="shared" si="21"/>
        <v>Medium quality</v>
      </c>
      <c r="G185" s="685" t="s">
        <v>578</v>
      </c>
      <c r="H185" s="685" t="s">
        <v>592</v>
      </c>
      <c r="I185" s="33" t="s">
        <v>576</v>
      </c>
      <c r="J185" s="108"/>
      <c r="K185" s="109"/>
      <c r="L185" s="4"/>
    </row>
    <row r="186" spans="1:12" ht="28">
      <c r="A186" s="4"/>
      <c r="B186" s="33" t="s">
        <v>439</v>
      </c>
      <c r="C186" s="450">
        <f>'Input use - economics'!E51</f>
        <v>3.9266666666666667</v>
      </c>
      <c r="D186" s="33" t="str">
        <f>'Input use - economics'!F51</f>
        <v>Euro/kg rinsing agent</v>
      </c>
      <c r="E186" s="33" t="s">
        <v>577</v>
      </c>
      <c r="F186" s="33" t="str">
        <f t="shared" si="21"/>
        <v>Medium quality</v>
      </c>
      <c r="G186" s="686"/>
      <c r="H186" s="686"/>
      <c r="I186" s="33" t="s">
        <v>576</v>
      </c>
      <c r="J186" s="108"/>
      <c r="K186" s="109"/>
      <c r="L186" s="4"/>
    </row>
    <row r="187" spans="1:12" ht="14.5" thickBot="1">
      <c r="A187" s="4"/>
      <c r="B187" s="37" t="s">
        <v>441</v>
      </c>
      <c r="C187" s="278">
        <f>'Input use - economics'!E52</f>
        <v>0</v>
      </c>
      <c r="D187" s="37">
        <f>'Input use - economics'!F52</f>
        <v>0</v>
      </c>
      <c r="E187" s="37"/>
      <c r="F187" s="37" t="str">
        <f t="shared" si="21"/>
        <v/>
      </c>
      <c r="G187" s="37"/>
      <c r="H187" s="37"/>
      <c r="I187" s="33" t="s">
        <v>576</v>
      </c>
      <c r="J187" s="105"/>
      <c r="K187" s="106"/>
      <c r="L187" s="4"/>
    </row>
    <row r="189" spans="1:12" ht="14.5" thickBot="1"/>
    <row r="190" spans="1:12" ht="28.5" thickBot="1">
      <c r="B190" s="86" t="s">
        <v>593</v>
      </c>
      <c r="C190" s="86" t="s">
        <v>594</v>
      </c>
      <c r="D190" s="86" t="s">
        <v>595</v>
      </c>
      <c r="E190" s="86" t="s">
        <v>596</v>
      </c>
      <c r="F190" s="86" t="s">
        <v>597</v>
      </c>
      <c r="G190" s="86" t="s">
        <v>508</v>
      </c>
    </row>
    <row r="191" spans="1:12" ht="42">
      <c r="B191" s="464" t="s">
        <v>598</v>
      </c>
      <c r="C191" s="465">
        <v>2.1534784789184247E-2</v>
      </c>
      <c r="D191" s="466">
        <f>C148*C149/1.05</f>
        <v>89.572145142857138</v>
      </c>
      <c r="E191" s="466">
        <f>D191*C178*3.6</f>
        <v>7.570419151440138</v>
      </c>
      <c r="F191" s="467">
        <f>E191/$E$195</f>
        <v>2.6260453952902242E-3</v>
      </c>
      <c r="G191" s="468" t="s">
        <v>599</v>
      </c>
    </row>
    <row r="192" spans="1:12">
      <c r="B192" s="469" t="s">
        <v>367</v>
      </c>
      <c r="C192" s="460">
        <v>1.6197846857569271E-2</v>
      </c>
      <c r="D192" s="462">
        <f>C141*C142</f>
        <v>6969.2</v>
      </c>
      <c r="E192" s="462">
        <f>D192*C179</f>
        <v>1791.7813199999998</v>
      </c>
      <c r="F192" s="463">
        <f t="shared" ref="F192:F194" si="22">E192/$E$195</f>
        <v>0.62153745923803172</v>
      </c>
      <c r="G192" s="470"/>
    </row>
    <row r="193" spans="2:7">
      <c r="B193" s="469" t="s">
        <v>107</v>
      </c>
      <c r="C193" s="460">
        <v>1.6220772190373989E-3</v>
      </c>
      <c r="D193" s="462">
        <f>C125</f>
        <v>163153.39500000002</v>
      </c>
      <c r="E193" s="462">
        <f>C156*C180</f>
        <v>311.62298445000005</v>
      </c>
      <c r="F193" s="463">
        <f t="shared" si="22"/>
        <v>0.10809653825123353</v>
      </c>
      <c r="G193" s="470"/>
    </row>
    <row r="194" spans="2:7">
      <c r="B194" s="469" t="s">
        <v>41</v>
      </c>
      <c r="C194" s="460">
        <v>1.2097198247907004E-2</v>
      </c>
      <c r="D194" s="462">
        <f>C132</f>
        <v>182.95618500000003</v>
      </c>
      <c r="E194" s="462">
        <f>D194*C185</f>
        <v>771.84640546875016</v>
      </c>
      <c r="F194" s="463">
        <f t="shared" si="22"/>
        <v>0.26773995711544457</v>
      </c>
      <c r="G194" s="470"/>
    </row>
    <row r="195" spans="2:7" ht="14.5" thickBot="1">
      <c r="B195" s="471"/>
      <c r="C195" s="472"/>
      <c r="D195" s="473"/>
      <c r="E195" s="473">
        <f>SUM(E191:E194)</f>
        <v>2882.8211290701902</v>
      </c>
      <c r="F195" s="474">
        <f>SUM(F191:F194)</f>
        <v>1</v>
      </c>
      <c r="G195" s="475"/>
    </row>
    <row r="196" spans="2:7" ht="14.5" thickBot="1">
      <c r="B196" s="476" t="s">
        <v>600</v>
      </c>
      <c r="C196" s="477">
        <f>(F191*C191)+(F192*C192)+(F193*C193)+(F194*C194)</f>
        <v>1.3538364175680327E-2</v>
      </c>
      <c r="D196" s="461"/>
      <c r="E196" s="461"/>
      <c r="F196" s="461"/>
      <c r="G196" s="14"/>
    </row>
  </sheetData>
  <mergeCells count="28">
    <mergeCell ref="B110:B112"/>
    <mergeCell ref="F110:G110"/>
    <mergeCell ref="F111:G111"/>
    <mergeCell ref="F112:G112"/>
    <mergeCell ref="F85:F86"/>
    <mergeCell ref="G85:G86"/>
    <mergeCell ref="E85:E86"/>
    <mergeCell ref="B6:I6"/>
    <mergeCell ref="C7:I7"/>
    <mergeCell ref="C8:I8"/>
    <mergeCell ref="C9:I9"/>
    <mergeCell ref="C10:I10"/>
    <mergeCell ref="G185:G186"/>
    <mergeCell ref="H185:H186"/>
    <mergeCell ref="E74:E76"/>
    <mergeCell ref="F74:F76"/>
    <mergeCell ref="G74:G76"/>
    <mergeCell ref="H74:H76"/>
    <mergeCell ref="E77:E82"/>
    <mergeCell ref="F77:F82"/>
    <mergeCell ref="G78:G82"/>
    <mergeCell ref="H77:H82"/>
    <mergeCell ref="E83:E84"/>
    <mergeCell ref="F83:F84"/>
    <mergeCell ref="G83:G84"/>
    <mergeCell ref="H83:H84"/>
    <mergeCell ref="F113:G113"/>
    <mergeCell ref="H85:H86"/>
  </mergeCells>
  <phoneticPr fontId="15" type="noConversion"/>
  <conditionalFormatting sqref="H17:H41">
    <cfRule type="expression" dxfId="9" priority="22">
      <formula>G17="No"</formula>
    </cfRule>
  </conditionalFormatting>
  <conditionalFormatting sqref="H46:H55">
    <cfRule type="expression" dxfId="8" priority="21">
      <formula>G46="No"</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8C614E2-308F-428D-BC53-5A7EE4F0D39E}">
          <x14:formula1>
            <xm:f>Lists!$B$2:$B$3</xm:f>
          </x14:formula1>
          <xm:sqref>G46:G55 G17:G41</xm:sqref>
        </x14:dataValidation>
        <x14:dataValidation type="list" allowBlank="1" showInputMessage="1" showErrorMessage="1" xr:uid="{3483D67B-BA95-40C2-8C66-CD57C46B43E9}">
          <x14:formula1>
            <xm:f>Lists!$F$2:$F$7</xm:f>
          </x14:formula1>
          <xm:sqref>E141:E146 I46:I55 E164:E165 E158:E162 E148:E152 E154:E156 E171:E172 E174:E187 E94:E95 E99:E100 E104:E105 I17:I41 E64:E65 E68:E72 E88 E121:E135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D5218-ACFC-49F7-976A-02642CE50DD8}">
  <sheetPr>
    <tabColor theme="5"/>
  </sheetPr>
  <dimension ref="A1:P68"/>
  <sheetViews>
    <sheetView zoomScale="90" zoomScaleNormal="90" workbookViewId="0">
      <selection activeCell="B2" sqref="B2"/>
    </sheetView>
  </sheetViews>
  <sheetFormatPr baseColWidth="10" defaultColWidth="8.75" defaultRowHeight="14"/>
  <cols>
    <col min="1" max="1" width="5" style="3" customWidth="1"/>
    <col min="2" max="2" width="38.33203125" style="3" customWidth="1"/>
    <col min="3" max="3" width="12.25" style="3" customWidth="1"/>
    <col min="4" max="4" width="9.75" style="3" customWidth="1"/>
    <col min="5" max="5" width="23.25" style="3" customWidth="1"/>
    <col min="6" max="12" width="20.6640625" style="579" customWidth="1"/>
    <col min="13" max="13" width="24.25" style="3" customWidth="1"/>
    <col min="14" max="14" width="18.75" style="3" customWidth="1"/>
    <col min="15" max="15" width="26.83203125" style="3" customWidth="1"/>
    <col min="16" max="16" width="102.83203125" style="3" customWidth="1"/>
    <col min="17" max="17" width="101.4140625" style="3" customWidth="1"/>
    <col min="18" max="16384" width="8.75" style="3"/>
  </cols>
  <sheetData>
    <row r="1" spans="2:12" ht="23.5">
      <c r="B1" s="6" t="s">
        <v>681</v>
      </c>
      <c r="C1"/>
    </row>
    <row r="2" spans="2:12" ht="18.5">
      <c r="B2" s="618" t="s">
        <v>674</v>
      </c>
      <c r="C2"/>
    </row>
    <row r="3" spans="2:12" ht="18.5">
      <c r="B3" s="618"/>
      <c r="C3"/>
    </row>
    <row r="4" spans="2:12" ht="21">
      <c r="B4" s="619" t="s">
        <v>675</v>
      </c>
      <c r="C4" s="54"/>
      <c r="D4" s="54"/>
      <c r="E4" s="53"/>
      <c r="F4" s="619"/>
    </row>
    <row r="5" spans="2:12" s="567" customFormat="1" ht="16">
      <c r="B5" s="684" t="s">
        <v>680</v>
      </c>
      <c r="C5" s="684"/>
      <c r="D5" s="684"/>
      <c r="E5" s="684"/>
      <c r="F5" s="620"/>
      <c r="G5" s="620"/>
      <c r="H5" s="620"/>
      <c r="I5" s="620"/>
      <c r="J5" s="620"/>
      <c r="K5" s="620"/>
      <c r="L5" s="620"/>
    </row>
    <row r="6" spans="2:12" ht="24" thickBot="1">
      <c r="B6" s="6"/>
      <c r="C6"/>
      <c r="F6" s="621" t="s">
        <v>646</v>
      </c>
      <c r="G6" s="621" t="s">
        <v>653</v>
      </c>
      <c r="H6" s="621" t="s">
        <v>654</v>
      </c>
      <c r="I6" s="621" t="s">
        <v>655</v>
      </c>
      <c r="J6" s="621" t="s">
        <v>656</v>
      </c>
      <c r="K6" s="621" t="s">
        <v>657</v>
      </c>
      <c r="L6" s="621" t="s">
        <v>683</v>
      </c>
    </row>
    <row r="7" spans="2:12" ht="59" thickBot="1">
      <c r="B7" s="6"/>
      <c r="C7"/>
      <c r="E7" s="631" t="s">
        <v>676</v>
      </c>
      <c r="F7" s="587" t="str">
        <f>F19</f>
        <v>Exhaust heat recovery (regenerator)</v>
      </c>
      <c r="G7" s="588" t="str">
        <f t="shared" ref="G7:L7" si="0">G19</f>
        <v>Exhaust air heat pump</v>
      </c>
      <c r="H7" s="588" t="str">
        <f t="shared" si="0"/>
        <v>Automatic programme for load and soil recognition</v>
      </c>
      <c r="I7" s="588" t="str">
        <f t="shared" si="0"/>
        <v xml:space="preserve">Improved thermal insulation (double-walled design) </v>
      </c>
      <c r="J7" s="588" t="str">
        <f t="shared" si="0"/>
        <v>Further substitution  of metals by polymers</v>
      </c>
      <c r="K7" s="588" t="str">
        <f t="shared" si="0"/>
        <v>Modular design and reuse of electronics</v>
      </c>
      <c r="L7" s="589" t="str">
        <f t="shared" si="0"/>
        <v xml:space="preserve">Other relevant design option (stakeholder input)
</v>
      </c>
    </row>
    <row r="8" spans="2:12" ht="23.5">
      <c r="B8" s="6"/>
      <c r="C8" s="585" t="str">
        <f>F19</f>
        <v>Exhaust heat recovery (regenerator)</v>
      </c>
      <c r="D8" s="569" t="s">
        <v>647</v>
      </c>
      <c r="E8" s="632"/>
      <c r="F8" s="635" t="s">
        <v>412</v>
      </c>
      <c r="G8" s="635"/>
      <c r="H8" s="635"/>
      <c r="I8" s="635"/>
      <c r="J8" s="635"/>
      <c r="K8" s="635"/>
      <c r="L8" s="636"/>
    </row>
    <row r="9" spans="2:12" ht="23.5">
      <c r="B9" s="6"/>
      <c r="C9" s="585" t="str">
        <f>G19</f>
        <v>Exhaust air heat pump</v>
      </c>
      <c r="D9" s="569" t="s">
        <v>648</v>
      </c>
      <c r="E9" s="633"/>
      <c r="F9" s="612"/>
      <c r="G9" s="586" t="s">
        <v>412</v>
      </c>
      <c r="H9" s="586"/>
      <c r="I9" s="586"/>
      <c r="J9" s="586"/>
      <c r="K9" s="586"/>
      <c r="L9" s="590"/>
    </row>
    <row r="10" spans="2:12" ht="23.5">
      <c r="B10" s="6"/>
      <c r="C10" s="585" t="str">
        <f>H19</f>
        <v>Automatic programme for load and soil recognition</v>
      </c>
      <c r="D10" s="569" t="s">
        <v>649</v>
      </c>
      <c r="E10" s="633"/>
      <c r="F10" s="612"/>
      <c r="G10" s="612"/>
      <c r="H10" s="586" t="s">
        <v>412</v>
      </c>
      <c r="I10" s="586"/>
      <c r="J10" s="586"/>
      <c r="K10" s="586"/>
      <c r="L10" s="590"/>
    </row>
    <row r="11" spans="2:12" ht="23.5">
      <c r="B11" s="6"/>
      <c r="C11" s="585" t="str">
        <f>I19</f>
        <v xml:space="preserve">Improved thermal insulation (double-walled design) </v>
      </c>
      <c r="D11" s="569" t="s">
        <v>650</v>
      </c>
      <c r="E11" s="633"/>
      <c r="F11" s="612"/>
      <c r="G11" s="612"/>
      <c r="H11" s="612"/>
      <c r="I11" s="586" t="s">
        <v>412</v>
      </c>
      <c r="J11" s="586"/>
      <c r="K11" s="586"/>
      <c r="L11" s="590"/>
    </row>
    <row r="12" spans="2:12" ht="23.5">
      <c r="B12" s="6"/>
      <c r="C12" s="585" t="str">
        <f>J19</f>
        <v>Further substitution  of metals by polymers</v>
      </c>
      <c r="D12" s="569" t="s">
        <v>651</v>
      </c>
      <c r="E12" s="633"/>
      <c r="F12" s="612"/>
      <c r="G12" s="612"/>
      <c r="H12" s="612"/>
      <c r="I12" s="612"/>
      <c r="J12" s="586" t="s">
        <v>412</v>
      </c>
      <c r="K12" s="586"/>
      <c r="L12" s="590"/>
    </row>
    <row r="13" spans="2:12" ht="23.5">
      <c r="B13" s="6"/>
      <c r="C13" s="585" t="str">
        <f>K19</f>
        <v>Modular design and reuse of electronics</v>
      </c>
      <c r="D13" s="569" t="s">
        <v>652</v>
      </c>
      <c r="E13" s="633"/>
      <c r="F13" s="612"/>
      <c r="G13" s="612"/>
      <c r="H13" s="612"/>
      <c r="I13" s="612"/>
      <c r="J13" s="612"/>
      <c r="K13" s="586" t="s">
        <v>412</v>
      </c>
      <c r="L13" s="590"/>
    </row>
    <row r="14" spans="2:12" ht="24" thickBot="1">
      <c r="B14" s="6"/>
      <c r="C14" s="585" t="str">
        <f>L19</f>
        <v xml:space="preserve">Other relevant design option (stakeholder input)
</v>
      </c>
      <c r="D14" s="569" t="s">
        <v>682</v>
      </c>
      <c r="E14" s="634"/>
      <c r="F14" s="613"/>
      <c r="G14" s="613"/>
      <c r="H14" s="613"/>
      <c r="I14" s="613"/>
      <c r="J14" s="613"/>
      <c r="K14" s="613"/>
      <c r="L14" s="591"/>
    </row>
    <row r="15" spans="2:12" ht="24" thickBot="1">
      <c r="B15" s="6"/>
      <c r="C15"/>
      <c r="D15" s="592" t="s">
        <v>661</v>
      </c>
      <c r="E15" s="678"/>
      <c r="F15" s="679"/>
      <c r="G15" s="679"/>
      <c r="H15" s="679"/>
      <c r="I15" s="679"/>
      <c r="J15" s="679"/>
      <c r="K15" s="679"/>
      <c r="L15" s="680"/>
    </row>
    <row r="16" spans="2:12">
      <c r="C16"/>
    </row>
    <row r="17" spans="2:13">
      <c r="C17"/>
    </row>
    <row r="18" spans="2:13" s="554" customFormat="1" ht="28">
      <c r="B18" s="54" t="s">
        <v>630</v>
      </c>
      <c r="C18" s="54"/>
      <c r="D18" s="54"/>
      <c r="E18" s="53"/>
      <c r="F18" s="584" t="s">
        <v>640</v>
      </c>
      <c r="G18" s="584" t="s">
        <v>641</v>
      </c>
      <c r="H18" s="584" t="s">
        <v>642</v>
      </c>
      <c r="I18" s="584" t="s">
        <v>643</v>
      </c>
      <c r="J18" s="584" t="s">
        <v>644</v>
      </c>
      <c r="K18" s="584" t="s">
        <v>645</v>
      </c>
      <c r="L18" s="584" t="s">
        <v>684</v>
      </c>
      <c r="M18" s="594" t="s">
        <v>663</v>
      </c>
    </row>
    <row r="19" spans="2:13" s="14" customFormat="1" ht="56.5" thickBot="1">
      <c r="B19" s="682" t="s">
        <v>678</v>
      </c>
      <c r="C19" s="682"/>
      <c r="D19" s="682"/>
      <c r="E19" s="683"/>
      <c r="F19" s="597" t="str">
        <f>'Design options'!B3</f>
        <v>Exhaust heat recovery (regenerator)</v>
      </c>
      <c r="G19" s="597" t="str">
        <f>'Design options'!B4</f>
        <v>Exhaust air heat pump</v>
      </c>
      <c r="H19" s="597" t="str">
        <f>'Design options'!B5</f>
        <v>Automatic programme for load and soil recognition</v>
      </c>
      <c r="I19" s="597" t="str">
        <f>'Design options'!B6</f>
        <v xml:space="preserve">Improved thermal insulation (double-walled design) </v>
      </c>
      <c r="J19" s="597" t="str">
        <f>'Design options'!B7</f>
        <v>Further substitution  of metals by polymers</v>
      </c>
      <c r="K19" s="597" t="str">
        <f>'Design options'!B8</f>
        <v>Modular design and reuse of electronics</v>
      </c>
      <c r="L19" s="622" t="str">
        <f>'Design options'!B9</f>
        <v xml:space="preserve">Other relevant design option (stakeholder input)
</v>
      </c>
    </row>
    <row r="20" spans="2:13" customFormat="1" ht="28.5" thickBot="1">
      <c r="B20" s="57" t="s">
        <v>304</v>
      </c>
      <c r="C20" s="57" t="s">
        <v>305</v>
      </c>
      <c r="D20" s="57" t="s">
        <v>7</v>
      </c>
      <c r="E20" s="570" t="s">
        <v>503</v>
      </c>
      <c r="F20" s="578" t="s">
        <v>662</v>
      </c>
      <c r="G20" s="578" t="s">
        <v>662</v>
      </c>
      <c r="H20" s="578" t="s">
        <v>662</v>
      </c>
      <c r="I20" s="578" t="s">
        <v>662</v>
      </c>
      <c r="J20" s="578" t="s">
        <v>662</v>
      </c>
      <c r="K20" s="58" t="s">
        <v>662</v>
      </c>
      <c r="L20" s="58" t="s">
        <v>662</v>
      </c>
      <c r="M20" s="58" t="s">
        <v>662</v>
      </c>
    </row>
    <row r="21" spans="2:13" customFormat="1">
      <c r="B21" s="31" t="s">
        <v>259</v>
      </c>
      <c r="C21" s="61">
        <v>112.045</v>
      </c>
      <c r="D21" s="556" t="s">
        <v>309</v>
      </c>
      <c r="E21" s="571">
        <v>1</v>
      </c>
      <c r="F21" s="627"/>
      <c r="G21" s="627"/>
      <c r="H21" s="627"/>
      <c r="I21" s="627"/>
      <c r="J21" s="627"/>
      <c r="K21" s="627"/>
      <c r="L21" s="627"/>
      <c r="M21" s="628"/>
    </row>
    <row r="22" spans="2:13" customFormat="1">
      <c r="B22" s="31" t="s">
        <v>313</v>
      </c>
      <c r="C22" s="61">
        <v>6.8049999999999997</v>
      </c>
      <c r="D22" s="556" t="s">
        <v>309</v>
      </c>
      <c r="E22" s="572">
        <v>1</v>
      </c>
      <c r="F22" s="614"/>
      <c r="G22" s="614"/>
      <c r="H22" s="614"/>
      <c r="I22" s="614"/>
      <c r="J22" s="614"/>
      <c r="K22" s="614"/>
      <c r="L22" s="614"/>
      <c r="M22" s="624"/>
    </row>
    <row r="23" spans="2:13" customFormat="1">
      <c r="B23" s="31" t="s">
        <v>316</v>
      </c>
      <c r="C23" s="61">
        <v>1.55</v>
      </c>
      <c r="D23" s="556" t="s">
        <v>309</v>
      </c>
      <c r="E23" s="572">
        <v>1</v>
      </c>
      <c r="F23" s="614"/>
      <c r="G23" s="614"/>
      <c r="H23" s="614"/>
      <c r="I23" s="614"/>
      <c r="J23" s="614"/>
      <c r="K23" s="614"/>
      <c r="L23" s="614"/>
      <c r="M23" s="624"/>
    </row>
    <row r="24" spans="2:13" customFormat="1">
      <c r="B24" s="31" t="s">
        <v>319</v>
      </c>
      <c r="C24" s="61">
        <v>0.63500000000000001</v>
      </c>
      <c r="D24" s="556" t="s">
        <v>309</v>
      </c>
      <c r="E24" s="572">
        <v>1</v>
      </c>
      <c r="F24" s="614"/>
      <c r="G24" s="614"/>
      <c r="H24" s="614"/>
      <c r="I24" s="614"/>
      <c r="J24" s="614"/>
      <c r="K24" s="614"/>
      <c r="L24" s="614"/>
      <c r="M24" s="624"/>
    </row>
    <row r="25" spans="2:13" customFormat="1">
      <c r="B25" s="31" t="s">
        <v>261</v>
      </c>
      <c r="C25" s="61">
        <v>3.847826086956522</v>
      </c>
      <c r="D25" s="556" t="s">
        <v>309</v>
      </c>
      <c r="E25" s="572">
        <v>1</v>
      </c>
      <c r="F25" s="614"/>
      <c r="G25" s="614"/>
      <c r="H25" s="614"/>
      <c r="I25" s="614"/>
      <c r="J25" s="614"/>
      <c r="K25" s="614"/>
      <c r="L25" s="614"/>
      <c r="M25" s="624"/>
    </row>
    <row r="26" spans="2:13" customFormat="1">
      <c r="B26" s="31" t="s">
        <v>262</v>
      </c>
      <c r="C26" s="61">
        <v>3.847826086956522</v>
      </c>
      <c r="D26" s="556" t="s">
        <v>309</v>
      </c>
      <c r="E26" s="572">
        <v>1</v>
      </c>
      <c r="F26" s="614"/>
      <c r="G26" s="614"/>
      <c r="H26" s="614"/>
      <c r="I26" s="614"/>
      <c r="J26" s="614"/>
      <c r="K26" s="614"/>
      <c r="L26" s="614"/>
      <c r="M26" s="624"/>
    </row>
    <row r="27" spans="2:13" customFormat="1">
      <c r="B27" s="31" t="s">
        <v>263</v>
      </c>
      <c r="C27" s="61">
        <v>2.9565217391304346</v>
      </c>
      <c r="D27" s="556" t="s">
        <v>309</v>
      </c>
      <c r="E27" s="572">
        <v>1</v>
      </c>
      <c r="F27" s="614"/>
      <c r="G27" s="614"/>
      <c r="H27" s="614"/>
      <c r="I27" s="614"/>
      <c r="J27" s="614"/>
      <c r="K27" s="614"/>
      <c r="L27" s="614"/>
      <c r="M27" s="624"/>
    </row>
    <row r="28" spans="2:13" customFormat="1">
      <c r="B28" s="31" t="s">
        <v>264</v>
      </c>
      <c r="C28" s="61">
        <v>3.847826086956522</v>
      </c>
      <c r="D28" s="556" t="s">
        <v>309</v>
      </c>
      <c r="E28" s="572">
        <v>1</v>
      </c>
      <c r="F28" s="614"/>
      <c r="G28" s="614"/>
      <c r="H28" s="614"/>
      <c r="I28" s="614"/>
      <c r="J28" s="614"/>
      <c r="K28" s="614"/>
      <c r="L28" s="614"/>
      <c r="M28" s="624"/>
    </row>
    <row r="29" spans="2:13" customFormat="1">
      <c r="B29" s="31" t="s">
        <v>327</v>
      </c>
      <c r="C29" s="61">
        <v>2</v>
      </c>
      <c r="D29" s="556" t="s">
        <v>309</v>
      </c>
      <c r="E29" s="572">
        <v>1</v>
      </c>
      <c r="F29" s="614"/>
      <c r="G29" s="614"/>
      <c r="H29" s="614"/>
      <c r="I29" s="614"/>
      <c r="J29" s="614"/>
      <c r="K29" s="614"/>
      <c r="L29" s="614"/>
      <c r="M29" s="624"/>
    </row>
    <row r="30" spans="2:13" customFormat="1">
      <c r="B30" s="31" t="s">
        <v>265</v>
      </c>
      <c r="C30" s="61">
        <v>1.3812500000000001</v>
      </c>
      <c r="D30" s="556" t="s">
        <v>309</v>
      </c>
      <c r="E30" s="572">
        <v>1</v>
      </c>
      <c r="F30" s="614"/>
      <c r="G30" s="614"/>
      <c r="H30" s="614"/>
      <c r="I30" s="614"/>
      <c r="J30" s="614"/>
      <c r="K30" s="614"/>
      <c r="L30" s="614"/>
      <c r="M30" s="624"/>
    </row>
    <row r="31" spans="2:13" customFormat="1">
      <c r="B31" s="31" t="s">
        <v>332</v>
      </c>
      <c r="C31" s="61">
        <v>0.8125</v>
      </c>
      <c r="D31" s="556" t="s">
        <v>309</v>
      </c>
      <c r="E31" s="572">
        <v>1</v>
      </c>
      <c r="F31" s="614"/>
      <c r="G31" s="614"/>
      <c r="H31" s="614"/>
      <c r="I31" s="614"/>
      <c r="J31" s="614"/>
      <c r="K31" s="614"/>
      <c r="L31" s="614"/>
      <c r="M31" s="624"/>
    </row>
    <row r="32" spans="2:13" customFormat="1">
      <c r="B32" s="31" t="s">
        <v>335</v>
      </c>
      <c r="C32" s="61">
        <v>0.40625</v>
      </c>
      <c r="D32" s="556" t="s">
        <v>309</v>
      </c>
      <c r="E32" s="572">
        <v>1</v>
      </c>
      <c r="F32" s="614"/>
      <c r="G32" s="614"/>
      <c r="H32" s="614"/>
      <c r="I32" s="614"/>
      <c r="J32" s="614"/>
      <c r="K32" s="614"/>
      <c r="L32" s="614"/>
      <c r="M32" s="624"/>
    </row>
    <row r="33" spans="2:16" customFormat="1">
      <c r="B33" s="31" t="s">
        <v>342</v>
      </c>
      <c r="C33" s="61">
        <v>3.5425</v>
      </c>
      <c r="D33" s="556" t="s">
        <v>309</v>
      </c>
      <c r="E33" s="572">
        <v>1</v>
      </c>
      <c r="F33" s="614"/>
      <c r="G33" s="614"/>
      <c r="H33" s="614"/>
      <c r="I33" s="614"/>
      <c r="J33" s="614"/>
      <c r="K33" s="614"/>
      <c r="L33" s="614"/>
      <c r="M33" s="624"/>
    </row>
    <row r="34" spans="2:16" customFormat="1">
      <c r="B34" s="31" t="s">
        <v>338</v>
      </c>
      <c r="C34" s="61">
        <v>1.6233766233766234</v>
      </c>
      <c r="D34" s="556" t="s">
        <v>493</v>
      </c>
      <c r="E34" s="572">
        <v>1</v>
      </c>
      <c r="F34" s="614"/>
      <c r="G34" s="614"/>
      <c r="H34" s="614"/>
      <c r="I34" s="614"/>
      <c r="J34" s="614"/>
      <c r="K34" s="614"/>
      <c r="L34" s="614"/>
      <c r="M34" s="624"/>
    </row>
    <row r="35" spans="2:16" customFormat="1">
      <c r="B35" s="31">
        <v>0</v>
      </c>
      <c r="C35" s="61">
        <v>0</v>
      </c>
      <c r="D35" s="556">
        <v>0</v>
      </c>
      <c r="E35" s="572">
        <v>1</v>
      </c>
      <c r="F35" s="614"/>
      <c r="G35" s="614"/>
      <c r="H35" s="614"/>
      <c r="I35" s="614"/>
      <c r="J35" s="614"/>
      <c r="K35" s="614"/>
      <c r="L35" s="614"/>
      <c r="M35" s="624"/>
    </row>
    <row r="36" spans="2:16" customFormat="1">
      <c r="B36" s="31">
        <v>0</v>
      </c>
      <c r="C36" s="61">
        <v>0</v>
      </c>
      <c r="D36" s="556">
        <v>0</v>
      </c>
      <c r="E36" s="572">
        <v>1</v>
      </c>
      <c r="F36" s="614"/>
      <c r="G36" s="614"/>
      <c r="H36" s="614"/>
      <c r="I36" s="614"/>
      <c r="J36" s="614"/>
      <c r="K36" s="614"/>
      <c r="L36" s="614"/>
      <c r="M36" s="624"/>
    </row>
    <row r="37" spans="2:16" customFormat="1">
      <c r="B37" s="31">
        <v>0</v>
      </c>
      <c r="C37" s="61">
        <v>0</v>
      </c>
      <c r="D37" s="556">
        <v>0</v>
      </c>
      <c r="E37" s="572">
        <v>1</v>
      </c>
      <c r="F37" s="614"/>
      <c r="G37" s="614"/>
      <c r="H37" s="614"/>
      <c r="I37" s="614"/>
      <c r="J37" s="614"/>
      <c r="K37" s="614"/>
      <c r="L37" s="614"/>
      <c r="M37" s="624"/>
    </row>
    <row r="38" spans="2:16" customFormat="1">
      <c r="B38" s="31">
        <v>0</v>
      </c>
      <c r="C38" s="61">
        <v>0</v>
      </c>
      <c r="D38" s="556">
        <v>0</v>
      </c>
      <c r="E38" s="572">
        <v>1</v>
      </c>
      <c r="F38" s="614"/>
      <c r="G38" s="614"/>
      <c r="H38" s="614"/>
      <c r="I38" s="614"/>
      <c r="J38" s="614"/>
      <c r="K38" s="614"/>
      <c r="L38" s="614"/>
      <c r="M38" s="624"/>
    </row>
    <row r="39" spans="2:16" customFormat="1">
      <c r="B39" s="31">
        <v>0</v>
      </c>
      <c r="C39" s="61">
        <v>0</v>
      </c>
      <c r="D39" s="556">
        <v>0</v>
      </c>
      <c r="E39" s="572">
        <v>1</v>
      </c>
      <c r="F39" s="614"/>
      <c r="G39" s="614"/>
      <c r="H39" s="614"/>
      <c r="I39" s="614"/>
      <c r="J39" s="614"/>
      <c r="K39" s="614"/>
      <c r="L39" s="614"/>
      <c r="M39" s="624"/>
    </row>
    <row r="40" spans="2:16" s="554" customFormat="1">
      <c r="B40" s="552">
        <v>0</v>
      </c>
      <c r="C40" s="553">
        <v>0</v>
      </c>
      <c r="D40" s="557">
        <v>0</v>
      </c>
      <c r="E40" s="572">
        <v>1</v>
      </c>
      <c r="F40" s="614"/>
      <c r="G40" s="614"/>
      <c r="H40" s="614"/>
      <c r="I40" s="614"/>
      <c r="J40" s="614"/>
      <c r="K40" s="614"/>
      <c r="L40" s="614"/>
      <c r="M40" s="624"/>
    </row>
    <row r="41" spans="2:16" customFormat="1">
      <c r="B41" s="31">
        <v>0</v>
      </c>
      <c r="C41" s="61">
        <v>0</v>
      </c>
      <c r="D41" s="557">
        <v>0</v>
      </c>
      <c r="E41" s="572">
        <v>1</v>
      </c>
      <c r="F41" s="614"/>
      <c r="G41" s="614"/>
      <c r="H41" s="614"/>
      <c r="I41" s="614"/>
      <c r="J41" s="614"/>
      <c r="K41" s="614"/>
      <c r="L41" s="614"/>
      <c r="M41" s="624"/>
    </row>
    <row r="42" spans="2:16" customFormat="1">
      <c r="B42" s="31">
        <v>0</v>
      </c>
      <c r="C42" s="61">
        <v>0</v>
      </c>
      <c r="D42" s="556">
        <v>0</v>
      </c>
      <c r="E42" s="572">
        <v>1</v>
      </c>
      <c r="F42" s="614"/>
      <c r="G42" s="614"/>
      <c r="H42" s="614"/>
      <c r="I42" s="614"/>
      <c r="J42" s="614"/>
      <c r="K42" s="614"/>
      <c r="L42" s="614"/>
      <c r="M42" s="624"/>
    </row>
    <row r="43" spans="2:16" customFormat="1">
      <c r="B43" s="31">
        <v>0</v>
      </c>
      <c r="C43" s="61">
        <v>0</v>
      </c>
      <c r="D43" s="556">
        <v>0</v>
      </c>
      <c r="E43" s="572">
        <v>1</v>
      </c>
      <c r="F43" s="614"/>
      <c r="G43" s="614"/>
      <c r="H43" s="614"/>
      <c r="I43" s="614"/>
      <c r="J43" s="614"/>
      <c r="K43" s="614"/>
      <c r="L43" s="614"/>
      <c r="M43" s="624"/>
    </row>
    <row r="44" spans="2:16" customFormat="1">
      <c r="B44" s="31">
        <v>0</v>
      </c>
      <c r="C44" s="61">
        <v>0</v>
      </c>
      <c r="D44" s="556">
        <v>0</v>
      </c>
      <c r="E44" s="572">
        <v>1</v>
      </c>
      <c r="F44" s="614"/>
      <c r="G44" s="614"/>
      <c r="H44" s="614"/>
      <c r="I44" s="614"/>
      <c r="J44" s="614"/>
      <c r="K44" s="614"/>
      <c r="L44" s="614"/>
      <c r="M44" s="624"/>
    </row>
    <row r="45" spans="2:16" customFormat="1" ht="14.5" thickBot="1">
      <c r="B45" s="68">
        <v>0</v>
      </c>
      <c r="C45" s="69">
        <v>0</v>
      </c>
      <c r="D45" s="559">
        <v>0</v>
      </c>
      <c r="E45" s="573">
        <v>1</v>
      </c>
      <c r="F45" s="629"/>
      <c r="G45" s="629"/>
      <c r="H45" s="629"/>
      <c r="I45" s="629"/>
      <c r="J45" s="629"/>
      <c r="K45" s="629"/>
      <c r="L45" s="629"/>
      <c r="M45" s="630"/>
    </row>
    <row r="46" spans="2:16" customFormat="1" ht="14.5" thickBot="1">
      <c r="B46" s="74" t="s">
        <v>353</v>
      </c>
      <c r="C46" s="75">
        <v>148.67749999999998</v>
      </c>
      <c r="D46" s="211" t="s">
        <v>309</v>
      </c>
      <c r="E46" s="574">
        <v>1</v>
      </c>
      <c r="F46" s="574"/>
      <c r="G46" s="574"/>
      <c r="H46" s="574"/>
      <c r="I46" s="574"/>
      <c r="J46" s="574"/>
      <c r="K46" s="560"/>
      <c r="L46" s="560"/>
      <c r="M46" s="560"/>
    </row>
    <row r="47" spans="2:16" customFormat="1" ht="24" thickBot="1">
      <c r="B47" s="3"/>
      <c r="C47" s="6"/>
      <c r="E47" s="592" t="s">
        <v>661</v>
      </c>
      <c r="F47" s="678"/>
      <c r="G47" s="679"/>
      <c r="H47" s="679"/>
      <c r="I47" s="679"/>
      <c r="J47" s="679"/>
      <c r="K47" s="679"/>
      <c r="L47" s="680"/>
      <c r="M47" s="593"/>
    </row>
    <row r="48" spans="2:16" customFormat="1">
      <c r="B48" s="5"/>
      <c r="C48" s="7"/>
      <c r="D48" s="8"/>
      <c r="E48" s="8"/>
      <c r="F48" s="8"/>
      <c r="G48" s="580"/>
      <c r="H48" s="581"/>
      <c r="I48" s="114"/>
      <c r="J48" s="114"/>
      <c r="K48" s="581"/>
      <c r="L48" s="581"/>
      <c r="M48" s="5"/>
      <c r="N48" s="5"/>
      <c r="O48" s="5"/>
      <c r="P48" s="4"/>
    </row>
    <row r="49" spans="1:16" customFormat="1">
      <c r="B49" s="5"/>
      <c r="C49" s="7"/>
      <c r="D49" s="8"/>
      <c r="E49" s="8"/>
      <c r="F49" s="8"/>
      <c r="G49" s="580"/>
      <c r="H49" s="581"/>
      <c r="I49" s="114"/>
      <c r="J49" s="114"/>
      <c r="K49" s="581"/>
      <c r="L49" s="581"/>
      <c r="M49" s="5"/>
      <c r="N49" s="5"/>
      <c r="O49" s="5"/>
      <c r="P49" s="4"/>
    </row>
    <row r="50" spans="1:16" s="567" customFormat="1" ht="28">
      <c r="B50" s="54" t="s">
        <v>631</v>
      </c>
      <c r="C50" s="99"/>
      <c r="D50" s="54"/>
      <c r="E50" s="54"/>
      <c r="F50" s="584" t="s">
        <v>634</v>
      </c>
      <c r="G50" s="584" t="s">
        <v>635</v>
      </c>
      <c r="H50" s="584" t="s">
        <v>636</v>
      </c>
      <c r="I50" s="584" t="s">
        <v>637</v>
      </c>
      <c r="J50" s="584" t="s">
        <v>638</v>
      </c>
      <c r="K50" s="584" t="s">
        <v>639</v>
      </c>
      <c r="L50" s="584" t="s">
        <v>684</v>
      </c>
      <c r="M50" s="594" t="s">
        <v>663</v>
      </c>
    </row>
    <row r="51" spans="1:16" s="147" customFormat="1" ht="56.5" thickBot="1">
      <c r="B51" s="682" t="s">
        <v>677</v>
      </c>
      <c r="C51" s="682"/>
      <c r="D51" s="682"/>
      <c r="E51" s="683"/>
      <c r="F51" s="595" t="str">
        <f>F19</f>
        <v>Exhaust heat recovery (regenerator)</v>
      </c>
      <c r="G51" s="595" t="str">
        <f t="shared" ref="G51:L51" si="1">G19</f>
        <v>Exhaust air heat pump</v>
      </c>
      <c r="H51" s="595" t="str">
        <f t="shared" si="1"/>
        <v>Automatic programme for load and soil recognition</v>
      </c>
      <c r="I51" s="595" t="str">
        <f t="shared" si="1"/>
        <v xml:space="preserve">Improved thermal insulation (double-walled design) </v>
      </c>
      <c r="J51" s="595" t="str">
        <f t="shared" si="1"/>
        <v>Further substitution  of metals by polymers</v>
      </c>
      <c r="K51" s="595" t="str">
        <f t="shared" si="1"/>
        <v>Modular design and reuse of electronics</v>
      </c>
      <c r="L51" s="595" t="str">
        <f t="shared" si="1"/>
        <v xml:space="preserve">Other relevant design option (stakeholder input)
</v>
      </c>
      <c r="M51" s="596"/>
    </row>
    <row r="52" spans="1:16" s="114" customFormat="1" ht="28.5" thickBot="1">
      <c r="B52" s="555" t="s">
        <v>667</v>
      </c>
      <c r="C52" s="18" t="s">
        <v>305</v>
      </c>
      <c r="D52" s="18" t="s">
        <v>7</v>
      </c>
      <c r="E52" s="575" t="s">
        <v>503</v>
      </c>
      <c r="F52" s="578" t="s">
        <v>662</v>
      </c>
      <c r="G52" s="578" t="s">
        <v>662</v>
      </c>
      <c r="H52" s="578" t="s">
        <v>662</v>
      </c>
      <c r="I52" s="578" t="s">
        <v>662</v>
      </c>
      <c r="J52" s="578" t="s">
        <v>662</v>
      </c>
      <c r="K52" s="58" t="s">
        <v>662</v>
      </c>
      <c r="L52" s="58" t="s">
        <v>662</v>
      </c>
      <c r="M52" s="58" t="s">
        <v>662</v>
      </c>
    </row>
    <row r="53" spans="1:16" s="114" customFormat="1">
      <c r="B53" s="30"/>
      <c r="C53" s="565"/>
      <c r="D53" s="566"/>
      <c r="E53" s="571"/>
      <c r="F53" s="639"/>
      <c r="G53" s="640"/>
      <c r="H53" s="640"/>
      <c r="I53" s="640"/>
      <c r="J53" s="640"/>
      <c r="K53" s="640"/>
      <c r="L53" s="640"/>
      <c r="M53" s="637"/>
    </row>
    <row r="54" spans="1:16" ht="28">
      <c r="B54" s="30" t="s">
        <v>626</v>
      </c>
      <c r="C54" s="600">
        <v>2.96</v>
      </c>
      <c r="D54" s="566" t="s">
        <v>57</v>
      </c>
      <c r="E54" s="571">
        <v>1</v>
      </c>
      <c r="F54" s="611"/>
      <c r="G54" s="612"/>
      <c r="H54" s="612"/>
      <c r="I54" s="612"/>
      <c r="J54" s="612"/>
      <c r="K54" s="612"/>
      <c r="L54" s="612"/>
      <c r="M54" s="624"/>
    </row>
    <row r="55" spans="1:16" s="4" customFormat="1" ht="28">
      <c r="B55" s="458" t="s">
        <v>627</v>
      </c>
      <c r="C55" s="604">
        <v>33</v>
      </c>
      <c r="D55" s="564" t="s">
        <v>59</v>
      </c>
      <c r="E55" s="572">
        <v>1</v>
      </c>
      <c r="F55" s="641"/>
      <c r="G55" s="615"/>
      <c r="H55" s="615"/>
      <c r="I55" s="615"/>
      <c r="J55" s="615"/>
      <c r="K55" s="615"/>
      <c r="L55" s="615"/>
      <c r="M55" s="624"/>
    </row>
    <row r="56" spans="1:16" s="4" customFormat="1" ht="28">
      <c r="B56" s="458" t="s">
        <v>629</v>
      </c>
      <c r="C56" s="605">
        <v>66</v>
      </c>
      <c r="D56" s="564" t="s">
        <v>60</v>
      </c>
      <c r="E56" s="572">
        <v>1</v>
      </c>
      <c r="F56" s="641"/>
      <c r="G56" s="615"/>
      <c r="H56" s="615"/>
      <c r="I56" s="615"/>
      <c r="J56" s="615"/>
      <c r="K56" s="615"/>
      <c r="L56" s="615"/>
      <c r="M56" s="624"/>
    </row>
    <row r="57" spans="1:16" s="4" customFormat="1" ht="28.5" thickBot="1">
      <c r="B57" s="458" t="s">
        <v>628</v>
      </c>
      <c r="C57" s="605">
        <v>5</v>
      </c>
      <c r="D57" s="564" t="s">
        <v>60</v>
      </c>
      <c r="E57" s="572">
        <v>1</v>
      </c>
      <c r="F57" s="642"/>
      <c r="G57" s="643"/>
      <c r="H57" s="643"/>
      <c r="I57" s="643"/>
      <c r="J57" s="643"/>
      <c r="K57" s="643"/>
      <c r="L57" s="643"/>
      <c r="M57" s="638"/>
    </row>
    <row r="58" spans="1:16" customFormat="1" ht="89.5" thickBot="1">
      <c r="B58" s="601" t="s">
        <v>668</v>
      </c>
      <c r="C58" s="6"/>
      <c r="E58" s="592" t="s">
        <v>661</v>
      </c>
      <c r="F58" s="678"/>
      <c r="G58" s="679"/>
      <c r="H58" s="679"/>
      <c r="I58" s="679"/>
      <c r="J58" s="679"/>
      <c r="K58" s="679"/>
      <c r="L58" s="680"/>
      <c r="M58" s="593"/>
    </row>
    <row r="61" spans="1:16" s="567" customFormat="1" ht="28">
      <c r="A61" s="568"/>
      <c r="B61" s="576" t="s">
        <v>632</v>
      </c>
      <c r="C61" s="577"/>
      <c r="D61" s="576"/>
      <c r="E61" s="577"/>
      <c r="F61" s="584" t="s">
        <v>634</v>
      </c>
      <c r="G61" s="584" t="s">
        <v>635</v>
      </c>
      <c r="H61" s="584" t="s">
        <v>636</v>
      </c>
      <c r="I61" s="584" t="s">
        <v>637</v>
      </c>
      <c r="J61" s="584" t="s">
        <v>638</v>
      </c>
      <c r="K61" s="584" t="s">
        <v>639</v>
      </c>
      <c r="L61" s="584" t="s">
        <v>684</v>
      </c>
      <c r="M61" s="594" t="s">
        <v>663</v>
      </c>
    </row>
    <row r="62" spans="1:16" s="147" customFormat="1" ht="56.5" thickBot="1">
      <c r="B62" s="682" t="s">
        <v>679</v>
      </c>
      <c r="C62" s="682"/>
      <c r="D62" s="682"/>
      <c r="E62" s="683"/>
      <c r="F62" s="595" t="str">
        <f>F19</f>
        <v>Exhaust heat recovery (regenerator)</v>
      </c>
      <c r="G62" s="595" t="str">
        <f t="shared" ref="G62:L62" si="2">G19</f>
        <v>Exhaust air heat pump</v>
      </c>
      <c r="H62" s="595" t="str">
        <f t="shared" si="2"/>
        <v>Automatic programme for load and soil recognition</v>
      </c>
      <c r="I62" s="595" t="str">
        <f t="shared" si="2"/>
        <v xml:space="preserve">Improved thermal insulation (double-walled design) </v>
      </c>
      <c r="J62" s="595" t="str">
        <f t="shared" si="2"/>
        <v>Further substitution  of metals by polymers</v>
      </c>
      <c r="K62" s="595" t="str">
        <f t="shared" si="2"/>
        <v>Modular design and reuse of electronics</v>
      </c>
      <c r="L62" s="595" t="str">
        <f t="shared" si="2"/>
        <v xml:space="preserve">Other relevant design option (stakeholder input)
</v>
      </c>
      <c r="M62" s="596"/>
    </row>
    <row r="63" spans="1:16" ht="28.5" thickBot="1">
      <c r="B63" s="561" t="s">
        <v>573</v>
      </c>
      <c r="C63" s="562" t="s">
        <v>305</v>
      </c>
      <c r="D63" s="561" t="s">
        <v>7</v>
      </c>
      <c r="E63" s="575" t="s">
        <v>503</v>
      </c>
      <c r="F63" s="578" t="s">
        <v>662</v>
      </c>
      <c r="G63" s="578" t="s">
        <v>662</v>
      </c>
      <c r="H63" s="578" t="s">
        <v>662</v>
      </c>
      <c r="I63" s="578" t="s">
        <v>662</v>
      </c>
      <c r="J63" s="578" t="s">
        <v>662</v>
      </c>
      <c r="K63" s="58" t="s">
        <v>662</v>
      </c>
      <c r="L63" s="58" t="s">
        <v>662</v>
      </c>
      <c r="M63" s="58" t="s">
        <v>662</v>
      </c>
    </row>
    <row r="64" spans="1:16">
      <c r="A64" s="4"/>
      <c r="B64" s="47" t="s">
        <v>416</v>
      </c>
      <c r="C64" s="273">
        <v>8</v>
      </c>
      <c r="D64" s="47" t="str">
        <f>'Input use - economics'!D36</f>
        <v>years</v>
      </c>
      <c r="E64" s="571">
        <v>1</v>
      </c>
      <c r="F64" s="612"/>
      <c r="G64" s="612"/>
      <c r="H64" s="612"/>
      <c r="I64" s="612"/>
      <c r="J64" s="612"/>
      <c r="K64" s="612"/>
      <c r="L64" s="623"/>
      <c r="M64" s="616"/>
    </row>
    <row r="65" spans="1:13" ht="14.5" thickBot="1">
      <c r="A65" s="4"/>
      <c r="B65" s="33" t="s">
        <v>422</v>
      </c>
      <c r="C65" s="452">
        <v>8662.40625</v>
      </c>
      <c r="D65" s="33" t="str">
        <f>'Input use - economics'!D40</f>
        <v>Euro/unit</v>
      </c>
      <c r="E65" s="571">
        <v>1</v>
      </c>
      <c r="F65" s="644"/>
      <c r="G65" s="644"/>
      <c r="H65" s="644"/>
      <c r="I65" s="644"/>
      <c r="J65" s="644"/>
      <c r="K65" s="644"/>
      <c r="L65" s="645"/>
      <c r="M65" s="617"/>
    </row>
    <row r="66" spans="1:13" customFormat="1" ht="24" thickBot="1">
      <c r="B66" s="3"/>
      <c r="C66" s="6"/>
      <c r="E66" s="592" t="s">
        <v>661</v>
      </c>
      <c r="F66" s="678"/>
      <c r="G66" s="679"/>
      <c r="H66" s="679"/>
      <c r="I66" s="679"/>
      <c r="J66" s="679"/>
      <c r="K66" s="679"/>
      <c r="L66" s="680"/>
      <c r="M66" s="593"/>
    </row>
    <row r="68" spans="1:13">
      <c r="C68"/>
      <c r="D68" s="461"/>
      <c r="E68" s="461"/>
      <c r="F68" s="582"/>
      <c r="G68" s="583"/>
    </row>
  </sheetData>
  <mergeCells count="8">
    <mergeCell ref="F66:L66"/>
    <mergeCell ref="B5:E5"/>
    <mergeCell ref="B19:E19"/>
    <mergeCell ref="B51:E51"/>
    <mergeCell ref="B62:E62"/>
    <mergeCell ref="E15:L15"/>
    <mergeCell ref="F47:L47"/>
    <mergeCell ref="F58:L58"/>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51AF021-6818-4BD9-BE23-4E247BA11239}">
          <x14:formula1>
            <xm:f>Lists!$B$2:$B$3</xm:f>
          </x14:formula1>
          <xm:sqref>E8:E14</xm:sqref>
        </x14:dataValidation>
        <x14:dataValidation type="list" allowBlank="1" showInputMessage="1" showErrorMessage="1" xr:uid="{EBB624FA-4E3D-4717-A448-9A415DB361A4}">
          <x14:formula1>
            <xm:f>Lists!$B$10:$B$12</xm:f>
          </x14:formula1>
          <xm:sqref>F9:F14 G10:G14 H11:H14 I12:I14 J13:J14 K14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C5767EB9995D40961FBA3C9F2BE6D4" ma:contentTypeVersion="5" ma:contentTypeDescription="Create a new document." ma:contentTypeScope="" ma:versionID="27420332bc5e0a58fca1cf9387d3f75b">
  <xsd:schema xmlns:xsd="http://www.w3.org/2001/XMLSchema" xmlns:xs="http://www.w3.org/2001/XMLSchema" xmlns:p="http://schemas.microsoft.com/office/2006/metadata/properties" xmlns:ns2="a1f60260-f820-450d-ac8c-5bbab87bdc0d" targetNamespace="http://schemas.microsoft.com/office/2006/metadata/properties" ma:root="true" ma:fieldsID="960fd748c8e0a417fef7ff9976190a1a" ns2:_="">
    <xsd:import namespace="a1f60260-f820-450d-ac8c-5bbab87bdc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HobartMode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f60260-f820-450d-ac8c-5bbab87bdc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HobartModels" ma:index="12" nillable="true" ma:displayName="Hobart Models" ma:format="Dropdown" ma:internalName="HobartModel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obartModels xmlns="a1f60260-f820-450d-ac8c-5bbab87bdc0d" xsi:nil="true"/>
  </documentManagement>
</p:properties>
</file>

<file path=customXml/itemProps1.xml><?xml version="1.0" encoding="utf-8"?>
<ds:datastoreItem xmlns:ds="http://schemas.openxmlformats.org/officeDocument/2006/customXml" ds:itemID="{7194C0A3-921F-4173-8C85-183B3F6F7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f60260-f820-450d-ac8c-5bbab87bdc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FA0C36-ADAE-4508-8A82-BF21C6C4FE0C}">
  <ds:schemaRefs>
    <ds:schemaRef ds:uri="http://schemas.microsoft.com/sharepoint/v3/contenttype/forms"/>
  </ds:schemaRefs>
</ds:datastoreItem>
</file>

<file path=customXml/itemProps3.xml><?xml version="1.0" encoding="utf-8"?>
<ds:datastoreItem xmlns:ds="http://schemas.openxmlformats.org/officeDocument/2006/customXml" ds:itemID="{4B721C45-0317-4895-98FE-3E3F19C14871}">
  <ds:schemaRef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a1f60260-f820-450d-ac8c-5bbab87bdc0d"/>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T3 Input data</vt:lpstr>
      <vt:lpstr>Input BoM- Manufacturing</vt:lpstr>
      <vt:lpstr>Input use - economics</vt:lpstr>
      <vt:lpstr>MEErP Task6_Background</vt:lpstr>
      <vt:lpstr>Design options</vt:lpstr>
      <vt:lpstr>BC1 Undercounter water-change</vt:lpstr>
      <vt:lpstr>BC2 Undercounter one-tank</vt:lpstr>
      <vt:lpstr>BC2# Undercounter one-tank</vt:lpstr>
      <vt:lpstr>BC3 Hood-type</vt:lpstr>
      <vt:lpstr>BC3# Hood-type </vt:lpstr>
      <vt:lpstr>BC4 Utensil or pot</vt:lpstr>
      <vt:lpstr>BC4# Utensil or pot </vt:lpstr>
      <vt:lpstr>BC5 One-tank conveyor-type</vt:lpstr>
      <vt:lpstr>BC5# One-tank conveyor-type </vt:lpstr>
      <vt:lpstr>BC6 Multi-tank conveyor-type</vt:lpstr>
      <vt:lpstr>BC6# Multi-tank conveyor-type</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Papavasileiou</dc:creator>
  <cp:keywords/>
  <dc:description/>
  <cp:lastModifiedBy>Kathrin Graulich</cp:lastModifiedBy>
  <cp:revision/>
  <dcterms:created xsi:type="dcterms:W3CDTF">2024-10-22T12:21:59Z</dcterms:created>
  <dcterms:modified xsi:type="dcterms:W3CDTF">2025-04-05T06:27:53Z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0x0101004AC5767EB9995D40961FBA3C9F2BE6D4</vt:lpwstr>
  </property>
</Properties>
</file>